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hnlerch/Downloads/"/>
    </mc:Choice>
  </mc:AlternateContent>
  <xr:revisionPtr revIDLastSave="0" documentId="8_{0D5CBE44-FA50-1F4B-9796-B3D01BF42F1B}" xr6:coauthVersionLast="47" xr6:coauthVersionMax="47" xr10:uidLastSave="{00000000-0000-0000-0000-000000000000}"/>
  <workbookProtection workbookAlgorithmName="SHA-512" workbookHashValue="AFXZWxaUNGxFuiTW7IbXVI8raw1xNcPPSU+kBSWZsjs7N82noi6h2JMRq7EBXV8QlipHY8TrUTAMfBsI2aLG1Q==" workbookSaltValue="0oqjBmw88yZNd+4Vrskppw==" workbookSpinCount="100000" lockStructure="1"/>
  <bookViews>
    <workbookView xWindow="31520" yWindow="500" windowWidth="38400" windowHeight="19920" xr2:uid="{AECC6D8E-B680-544C-9455-077D825AEE88}"/>
  </bookViews>
  <sheets>
    <sheet name="Solar Sizing" sheetId="1" r:id="rId1"/>
    <sheet name="Battery Sizing" sheetId="10" r:id="rId2"/>
    <sheet name="Battery Sizing OLD" sheetId="8" state="hidden" r:id="rId3"/>
    <sheet name="Battery + Solar" sheetId="7" state="hidden" r:id="rId4"/>
    <sheet name="Ref Solar" sheetId="3" state="hidden" r:id="rId5"/>
    <sheet name="Ref Battery" sheetId="4" state="hidden" r:id="rId6"/>
    <sheet name="Ref Bat &amp; Sol" sheetId="9" state="hidden" r:id="rId7"/>
    <sheet name="Loads" sheetId="5" state="hidden" r:id="rId8"/>
  </sheets>
  <definedNames>
    <definedName name="_xlnm._FilterDatabase" localSheetId="7" hidden="1">Loads!$A$1:$D$1</definedName>
    <definedName name="_xlnm._FilterDatabase" localSheetId="6" hidden="1">'Ref Bat &amp; Sol'!#REF!</definedName>
    <definedName name="_xlnm._FilterDatabase" localSheetId="4" hidden="1">'Ref Solar'!#REF!</definedName>
    <definedName name="Degrees" localSheetId="6">'Ref Bat &amp; Sol'!$C$2:$C$3</definedName>
    <definedName name="Degrees">'Ref Solar'!$C$2:$C$3</definedName>
    <definedName name="GridVoltage" localSheetId="6">'Ref Bat &amp; Sol'!$A$2:$A$3</definedName>
    <definedName name="GridVoltage">'Ref Solar'!$A$2:$A$3</definedName>
    <definedName name="Loads">Loads!$A$3:$A$30</definedName>
    <definedName name="max_string">'Solar Sizing'!$O$19</definedName>
    <definedName name="min_string">'Solar Sizing'!$O$18</definedName>
    <definedName name="null">'Solar Sizing'!#REF!</definedName>
    <definedName name="Optimizers">'Ref Solar'!$G$2:$G$3</definedName>
    <definedName name="Type">'Ref Solar'!$H$2:$H$3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0" i="10" l="1"/>
  <c r="G49" i="1"/>
  <c r="H23" i="1"/>
  <c r="H22" i="1"/>
  <c r="O47" i="10"/>
  <c r="N47" i="10"/>
  <c r="C46" i="10"/>
  <c r="C45" i="10"/>
  <c r="C44" i="10"/>
  <c r="H42" i="10"/>
  <c r="H46" i="10" s="1"/>
  <c r="G42" i="10"/>
  <c r="G46" i="10" s="1"/>
  <c r="H41" i="10"/>
  <c r="G41" i="10"/>
  <c r="P41" i="10"/>
  <c r="H40" i="10"/>
  <c r="G40" i="10"/>
  <c r="P40" i="10"/>
  <c r="H39" i="10"/>
  <c r="G39" i="10"/>
  <c r="P39" i="10"/>
  <c r="H38" i="10"/>
  <c r="G38" i="10"/>
  <c r="P38" i="10"/>
  <c r="H37" i="10"/>
  <c r="G37" i="10"/>
  <c r="P37" i="10"/>
  <c r="H36" i="10"/>
  <c r="G36" i="10"/>
  <c r="P36" i="10"/>
  <c r="H35" i="10"/>
  <c r="G35" i="10"/>
  <c r="H34" i="10"/>
  <c r="G34" i="10"/>
  <c r="D33" i="10"/>
  <c r="G33" i="10" s="1"/>
  <c r="H32" i="10"/>
  <c r="G32" i="10"/>
  <c r="H31" i="10"/>
  <c r="G31" i="10"/>
  <c r="H30" i="10"/>
  <c r="G30" i="10"/>
  <c r="H28" i="10"/>
  <c r="H45" i="10" s="1"/>
  <c r="G28" i="10"/>
  <c r="G45" i="10" s="1"/>
  <c r="H27" i="10"/>
  <c r="G27" i="10"/>
  <c r="H26" i="10"/>
  <c r="G26" i="10"/>
  <c r="H25" i="10"/>
  <c r="G25" i="10"/>
  <c r="H24" i="10"/>
  <c r="G24" i="10"/>
  <c r="P24" i="10"/>
  <c r="H23" i="10"/>
  <c r="G23" i="10"/>
  <c r="P23" i="10"/>
  <c r="P22" i="10"/>
  <c r="H20" i="10"/>
  <c r="G20" i="10"/>
  <c r="H19" i="10"/>
  <c r="G19" i="10"/>
  <c r="H18" i="10"/>
  <c r="G18" i="10"/>
  <c r="H17" i="10"/>
  <c r="G17" i="10"/>
  <c r="H16" i="10"/>
  <c r="G16" i="10"/>
  <c r="H15" i="10"/>
  <c r="G15" i="10"/>
  <c r="O15" i="10"/>
  <c r="N15" i="10"/>
  <c r="M15" i="10"/>
  <c r="H14" i="10"/>
  <c r="G14" i="10"/>
  <c r="H13" i="10"/>
  <c r="G13" i="10"/>
  <c r="P13" i="10"/>
  <c r="O13" i="10"/>
  <c r="N13" i="10"/>
  <c r="M13" i="10"/>
  <c r="H12" i="10"/>
  <c r="G12" i="10"/>
  <c r="P12" i="10"/>
  <c r="O12" i="10"/>
  <c r="N12" i="10"/>
  <c r="M12" i="10"/>
  <c r="H11" i="10"/>
  <c r="G11" i="10"/>
  <c r="P11" i="10"/>
  <c r="O11" i="10"/>
  <c r="N11" i="10"/>
  <c r="M11" i="10"/>
  <c r="H10" i="10"/>
  <c r="G10" i="10"/>
  <c r="H9" i="10"/>
  <c r="G9" i="10"/>
  <c r="H8" i="10"/>
  <c r="G8" i="10"/>
  <c r="H7" i="10"/>
  <c r="G7" i="10"/>
  <c r="G21" i="10" l="1"/>
  <c r="G44" i="10" s="1"/>
  <c r="G47" i="10" s="1"/>
  <c r="N23" i="10" s="1"/>
  <c r="H21" i="10"/>
  <c r="H44" i="10" s="1"/>
  <c r="H47" i="10" s="1"/>
  <c r="N37" i="10" s="1"/>
  <c r="H33" i="10"/>
  <c r="M22" i="10" l="1"/>
  <c r="M37" i="10"/>
  <c r="O22" i="10"/>
  <c r="M23" i="10"/>
  <c r="O37" i="10"/>
  <c r="M40" i="10"/>
  <c r="N41" i="10"/>
  <c r="N38" i="10"/>
  <c r="M39" i="10"/>
  <c r="M38" i="10"/>
  <c r="O38" i="10"/>
  <c r="M36" i="10"/>
  <c r="O36" i="10"/>
  <c r="O40" i="10"/>
  <c r="O41" i="10"/>
  <c r="O27" i="10"/>
  <c r="O26" i="10" s="1"/>
  <c r="N27" i="10"/>
  <c r="N26" i="10" s="1"/>
  <c r="M27" i="10"/>
  <c r="M26" i="10" s="1"/>
  <c r="N39" i="10"/>
  <c r="N36" i="10"/>
  <c r="M41" i="10"/>
  <c r="O39" i="10"/>
  <c r="O24" i="10"/>
  <c r="M24" i="10"/>
  <c r="O23" i="10"/>
  <c r="N24" i="10"/>
  <c r="N22" i="10"/>
  <c r="N40" i="10"/>
  <c r="I60" i="7"/>
  <c r="F31" i="1"/>
  <c r="F30" i="1"/>
  <c r="F29" i="1"/>
  <c r="F98" i="7"/>
  <c r="F30" i="7"/>
  <c r="F31" i="7"/>
  <c r="F32" i="7"/>
  <c r="F33" i="7"/>
  <c r="F34" i="7"/>
  <c r="F35" i="7"/>
  <c r="F36" i="7"/>
  <c r="F37" i="7"/>
  <c r="D30" i="7"/>
  <c r="D31" i="7"/>
  <c r="D32" i="7"/>
  <c r="D33" i="7"/>
  <c r="D34" i="7"/>
  <c r="D35" i="7"/>
  <c r="D36" i="7"/>
  <c r="D37" i="7"/>
  <c r="B30" i="7"/>
  <c r="H30" i="7" s="1"/>
  <c r="B31" i="7"/>
  <c r="H31" i="7" s="1"/>
  <c r="B32" i="7"/>
  <c r="H32" i="7" s="1"/>
  <c r="B33" i="7"/>
  <c r="H33" i="7" s="1"/>
  <c r="B34" i="7"/>
  <c r="H34" i="7" s="1"/>
  <c r="B35" i="7"/>
  <c r="B36" i="7"/>
  <c r="H36" i="7" s="1"/>
  <c r="B37" i="7"/>
  <c r="H37" i="7" s="1"/>
  <c r="F13" i="8"/>
  <c r="D13" i="8"/>
  <c r="B13" i="8"/>
  <c r="H13" i="8" s="1"/>
  <c r="F12" i="8"/>
  <c r="D12" i="8"/>
  <c r="D17" i="8" s="1"/>
  <c r="B12" i="8"/>
  <c r="B17" i="8" s="1"/>
  <c r="F11" i="8"/>
  <c r="D11" i="8"/>
  <c r="B11" i="8"/>
  <c r="H11" i="8" s="1"/>
  <c r="F10" i="8"/>
  <c r="D10" i="8"/>
  <c r="B10" i="8"/>
  <c r="H10" i="8" s="1"/>
  <c r="F9" i="8"/>
  <c r="D9" i="8"/>
  <c r="B9" i="8"/>
  <c r="H9" i="8" s="1"/>
  <c r="F99" i="7"/>
  <c r="A6" i="4"/>
  <c r="C104" i="7"/>
  <c r="C22" i="1"/>
  <c r="J82" i="7"/>
  <c r="J83" i="7" s="1"/>
  <c r="I84" i="7" s="1"/>
  <c r="I82" i="7"/>
  <c r="I83" i="7" s="1"/>
  <c r="G50" i="1" l="1"/>
  <c r="K45" i="3"/>
  <c r="K31" i="3"/>
  <c r="K6" i="3"/>
  <c r="H35" i="7"/>
  <c r="H12" i="8"/>
  <c r="K17" i="3"/>
  <c r="B32" i="1"/>
  <c r="H105" i="7"/>
  <c r="B111" i="7" s="1"/>
  <c r="H104" i="7"/>
  <c r="B105" i="7" s="1"/>
  <c r="B106" i="7" s="1"/>
  <c r="B107" i="7" s="1"/>
  <c r="B108" i="7" s="1"/>
  <c r="E111" i="7" s="1"/>
  <c r="K13" i="9"/>
  <c r="L13" i="9" s="1"/>
  <c r="K12" i="9"/>
  <c r="L12" i="9" s="1"/>
  <c r="K11" i="9"/>
  <c r="L11" i="9" s="1"/>
  <c r="M11" i="9" s="1"/>
  <c r="K10" i="9"/>
  <c r="L10" i="9" s="1"/>
  <c r="K9" i="9"/>
  <c r="L9" i="9" s="1"/>
  <c r="K8" i="9"/>
  <c r="L8" i="9" s="1"/>
  <c r="K7" i="9"/>
  <c r="L7" i="9" s="1"/>
  <c r="K6" i="9"/>
  <c r="B114" i="7"/>
  <c r="D71" i="7"/>
  <c r="F16" i="8"/>
  <c r="D16" i="8"/>
  <c r="B16" i="8"/>
  <c r="F15" i="8"/>
  <c r="D15" i="8"/>
  <c r="B15" i="8"/>
  <c r="F14" i="8"/>
  <c r="D14" i="8"/>
  <c r="B14" i="8"/>
  <c r="F8" i="8"/>
  <c r="D8" i="8"/>
  <c r="B8" i="8"/>
  <c r="F7" i="8"/>
  <c r="B29" i="7"/>
  <c r="C87" i="7"/>
  <c r="D70" i="7" s="1"/>
  <c r="L65" i="7"/>
  <c r="L64" i="7"/>
  <c r="L63" i="7"/>
  <c r="L62" i="7"/>
  <c r="D72" i="7"/>
  <c r="D74" i="7"/>
  <c r="D76" i="7"/>
  <c r="D79" i="7"/>
  <c r="D81" i="7"/>
  <c r="D82" i="7"/>
  <c r="D80" i="7"/>
  <c r="D78" i="7"/>
  <c r="D77" i="7"/>
  <c r="D75" i="7"/>
  <c r="D73" i="7"/>
  <c r="K20" i="3" l="1"/>
  <c r="L17" i="3"/>
  <c r="K9" i="3"/>
  <c r="K16" i="3"/>
  <c r="K10" i="3"/>
  <c r="L10" i="3" s="1"/>
  <c r="K8" i="3"/>
  <c r="L8" i="3" s="1"/>
  <c r="M8" i="3" s="1"/>
  <c r="K15" i="3"/>
  <c r="K14" i="3"/>
  <c r="K13" i="3"/>
  <c r="K11" i="3"/>
  <c r="K12" i="3"/>
  <c r="B122" i="7"/>
  <c r="B119" i="7"/>
  <c r="E113" i="7"/>
  <c r="E112" i="7"/>
  <c r="H15" i="8"/>
  <c r="H7" i="8"/>
  <c r="H8" i="8"/>
  <c r="M8" i="9"/>
  <c r="E110" i="7"/>
  <c r="M10" i="9"/>
  <c r="N10" i="9" s="1"/>
  <c r="M9" i="9"/>
  <c r="N9" i="9" s="1"/>
  <c r="N11" i="9"/>
  <c r="O11" i="9" s="1"/>
  <c r="P11" i="9" s="1"/>
  <c r="M13" i="9"/>
  <c r="M12" i="9"/>
  <c r="A25" i="8"/>
  <c r="C25" i="8" s="1"/>
  <c r="H14" i="8"/>
  <c r="H16" i="8"/>
  <c r="A22" i="8"/>
  <c r="D83" i="7"/>
  <c r="D84" i="7"/>
  <c r="H17" i="8" l="1"/>
  <c r="K34" i="3"/>
  <c r="K37" i="3" s="1"/>
  <c r="L31" i="3"/>
  <c r="M31" i="3" s="1"/>
  <c r="N31" i="3" s="1"/>
  <c r="L16" i="3"/>
  <c r="M10" i="3"/>
  <c r="N10" i="3" s="1"/>
  <c r="O10" i="3" s="1"/>
  <c r="L9" i="3"/>
  <c r="L11" i="3"/>
  <c r="M11" i="3" s="1"/>
  <c r="L12" i="3"/>
  <c r="L13" i="3"/>
  <c r="M17" i="3"/>
  <c r="N17" i="3" s="1"/>
  <c r="L14" i="3"/>
  <c r="L15" i="3"/>
  <c r="M15" i="3" s="1"/>
  <c r="K24" i="3"/>
  <c r="K30" i="3"/>
  <c r="K21" i="3"/>
  <c r="L21" i="3" s="1"/>
  <c r="K26" i="3"/>
  <c r="K28" i="3"/>
  <c r="L28" i="3" s="1"/>
  <c r="M28" i="3" s="1"/>
  <c r="K25" i="3"/>
  <c r="K22" i="3"/>
  <c r="L22" i="3" s="1"/>
  <c r="K27" i="3"/>
  <c r="L27" i="3" s="1"/>
  <c r="K29" i="3"/>
  <c r="K23" i="3"/>
  <c r="L23" i="3" s="1"/>
  <c r="G119" i="7"/>
  <c r="A119" i="7"/>
  <c r="D34" i="8" a="1"/>
  <c r="D34" i="8" s="1"/>
  <c r="C34" i="8" a="1"/>
  <c r="C34" i="8" s="1"/>
  <c r="E34" i="8" a="1"/>
  <c r="E34" i="8" s="1"/>
  <c r="C22" i="8"/>
  <c r="A28" i="8"/>
  <c r="C28" i="8" s="1"/>
  <c r="F28" i="8" s="1"/>
  <c r="A32" i="8" s="1" a="1"/>
  <c r="A32" i="8" s="1"/>
  <c r="D119" i="7"/>
  <c r="E119" i="7"/>
  <c r="H119" i="7"/>
  <c r="O10" i="9"/>
  <c r="N12" i="9"/>
  <c r="O12" i="9" s="1"/>
  <c r="N13" i="9"/>
  <c r="E62" i="7"/>
  <c r="E63" i="7"/>
  <c r="F38" i="7"/>
  <c r="D38" i="7"/>
  <c r="B38" i="7"/>
  <c r="F29" i="7"/>
  <c r="H29" i="7" s="1"/>
  <c r="D29" i="7"/>
  <c r="F28" i="7"/>
  <c r="B28" i="7"/>
  <c r="F27" i="7"/>
  <c r="B27" i="7"/>
  <c r="F26" i="7"/>
  <c r="D26" i="7"/>
  <c r="B26" i="7"/>
  <c r="K35" i="3" l="1"/>
  <c r="L35" i="3" s="1"/>
  <c r="K41" i="3"/>
  <c r="L41" i="3" s="1"/>
  <c r="K36" i="3"/>
  <c r="L36" i="3" s="1"/>
  <c r="M36" i="3" s="1"/>
  <c r="K40" i="3"/>
  <c r="L40" i="3" s="1"/>
  <c r="K39" i="3"/>
  <c r="L39" i="3" s="1"/>
  <c r="M39" i="3" s="1"/>
  <c r="K44" i="3"/>
  <c r="L44" i="3" s="1"/>
  <c r="M44" i="3" s="1"/>
  <c r="N44" i="3" s="1"/>
  <c r="K38" i="3"/>
  <c r="L38" i="3" s="1"/>
  <c r="M38" i="3" s="1"/>
  <c r="K42" i="3"/>
  <c r="L42" i="3" s="1"/>
  <c r="M42" i="3" s="1"/>
  <c r="N42" i="3" s="1"/>
  <c r="K43" i="3"/>
  <c r="L43" i="3" s="1"/>
  <c r="M43" i="3" s="1"/>
  <c r="M27" i="3"/>
  <c r="N27" i="3" s="1"/>
  <c r="O27" i="3" s="1"/>
  <c r="L29" i="3"/>
  <c r="M23" i="3"/>
  <c r="N23" i="3" s="1"/>
  <c r="L30" i="3"/>
  <c r="M30" i="3" s="1"/>
  <c r="L24" i="3"/>
  <c r="N28" i="3"/>
  <c r="O28" i="3" s="1"/>
  <c r="L25" i="3"/>
  <c r="M25" i="3" s="1"/>
  <c r="O31" i="3"/>
  <c r="P31" i="3" s="1"/>
  <c r="L26" i="3"/>
  <c r="L45" i="3"/>
  <c r="M45" i="3" s="1"/>
  <c r="N45" i="3" s="1"/>
  <c r="L37" i="3"/>
  <c r="M13" i="3"/>
  <c r="N13" i="3" s="1"/>
  <c r="M14" i="3"/>
  <c r="N14" i="3" s="1"/>
  <c r="M9" i="3"/>
  <c r="N9" i="3" s="1"/>
  <c r="O17" i="3"/>
  <c r="M12" i="3"/>
  <c r="N12" i="3" s="1"/>
  <c r="N11" i="3"/>
  <c r="O11" i="3" s="1"/>
  <c r="P11" i="3" s="1"/>
  <c r="N15" i="3"/>
  <c r="M16" i="3"/>
  <c r="N16" i="3" s="1"/>
  <c r="O16" i="3" s="1"/>
  <c r="M22" i="3"/>
  <c r="B39" i="7"/>
  <c r="D39" i="7"/>
  <c r="H28" i="8"/>
  <c r="O13" i="9"/>
  <c r="P13" i="9" s="1"/>
  <c r="P12" i="9"/>
  <c r="Q12" i="9" s="1"/>
  <c r="H27" i="7"/>
  <c r="H38" i="7"/>
  <c r="A46" i="7"/>
  <c r="A43" i="7"/>
  <c r="H26" i="7"/>
  <c r="H28" i="7"/>
  <c r="N39" i="3" l="1"/>
  <c r="O39" i="3" s="1"/>
  <c r="P39" i="3" s="1"/>
  <c r="O44" i="3"/>
  <c r="P44" i="3" s="1"/>
  <c r="M40" i="3"/>
  <c r="N40" i="3" s="1"/>
  <c r="M41" i="3"/>
  <c r="Q31" i="3"/>
  <c r="R31" i="3" s="1"/>
  <c r="O45" i="3"/>
  <c r="P45" i="3" s="1"/>
  <c r="Q45" i="3" s="1"/>
  <c r="M26" i="3"/>
  <c r="N26" i="3" s="1"/>
  <c r="O26" i="3" s="1"/>
  <c r="N43" i="3"/>
  <c r="O42" i="3"/>
  <c r="P42" i="3" s="1"/>
  <c r="Q42" i="3" s="1"/>
  <c r="M24" i="3"/>
  <c r="N24" i="3" s="1"/>
  <c r="P27" i="3"/>
  <c r="Q27" i="3" s="1"/>
  <c r="R27" i="3" s="1"/>
  <c r="N38" i="3"/>
  <c r="O38" i="3" s="1"/>
  <c r="M37" i="3"/>
  <c r="N37" i="3" s="1"/>
  <c r="M29" i="3"/>
  <c r="N29" i="3" s="1"/>
  <c r="O29" i="3" s="1"/>
  <c r="P28" i="3"/>
  <c r="Q28" i="3" s="1"/>
  <c r="R28" i="3" s="1"/>
  <c r="S28" i="3" s="1"/>
  <c r="N25" i="3"/>
  <c r="O25" i="3" s="1"/>
  <c r="N30" i="3"/>
  <c r="O13" i="3"/>
  <c r="P13" i="3" s="1"/>
  <c r="Q13" i="3" s="1"/>
  <c r="P16" i="3"/>
  <c r="Q16" i="3" s="1"/>
  <c r="R16" i="3" s="1"/>
  <c r="O14" i="3"/>
  <c r="P14" i="3" s="1"/>
  <c r="O15" i="3"/>
  <c r="P15" i="3" s="1"/>
  <c r="Q15" i="3" s="1"/>
  <c r="P17" i="3"/>
  <c r="Q17" i="3" s="1"/>
  <c r="O12" i="3"/>
  <c r="P12" i="3" s="1"/>
  <c r="Q12" i="3" s="1"/>
  <c r="H39" i="7"/>
  <c r="D55" i="7" a="1"/>
  <c r="D55" i="7" s="1"/>
  <c r="C55" i="7" a="1"/>
  <c r="C55" i="7" s="1"/>
  <c r="E55" i="7" a="1"/>
  <c r="E55" i="7" s="1"/>
  <c r="A49" i="7"/>
  <c r="Q13" i="9"/>
  <c r="R13" i="9" s="1"/>
  <c r="O40" i="3" l="1"/>
  <c r="P40" i="3" s="1"/>
  <c r="Q40" i="3" s="1"/>
  <c r="P26" i="3"/>
  <c r="Q26" i="3" s="1"/>
  <c r="N41" i="3"/>
  <c r="O41" i="3" s="1"/>
  <c r="P41" i="3" s="1"/>
  <c r="S31" i="3"/>
  <c r="T31" i="3" s="1"/>
  <c r="R42" i="3"/>
  <c r="S42" i="3" s="1"/>
  <c r="R45" i="3"/>
  <c r="S45" i="3" s="1"/>
  <c r="O43" i="3"/>
  <c r="P43" i="3" s="1"/>
  <c r="O24" i="3"/>
  <c r="P29" i="3"/>
  <c r="Q44" i="3"/>
  <c r="O30" i="3"/>
  <c r="P25" i="3"/>
  <c r="R13" i="3"/>
  <c r="Q14" i="3"/>
  <c r="R14" i="3" s="1"/>
  <c r="S14" i="3" s="1"/>
  <c r="R15" i="3"/>
  <c r="S15" i="3" s="1"/>
  <c r="R17" i="3"/>
  <c r="S16" i="3"/>
  <c r="T16" i="3" s="1"/>
  <c r="U16" i="3" s="1"/>
  <c r="G52" i="7"/>
  <c r="G55" i="7" s="1"/>
  <c r="G56" i="7"/>
  <c r="C49" i="7"/>
  <c r="F49" i="7" s="1"/>
  <c r="A53" i="7" s="1" a="1"/>
  <c r="A53" i="7" s="1"/>
  <c r="Q41" i="3" l="1"/>
  <c r="R41" i="3" s="1"/>
  <c r="U31" i="3"/>
  <c r="V31" i="3" s="1"/>
  <c r="Q43" i="3"/>
  <c r="R43" i="3" s="1"/>
  <c r="S43" i="3" s="1"/>
  <c r="T43" i="3" s="1"/>
  <c r="T45" i="3"/>
  <c r="U45" i="3" s="1"/>
  <c r="V45" i="3" s="1"/>
  <c r="Q29" i="3"/>
  <c r="R29" i="3" s="1"/>
  <c r="S29" i="3" s="1"/>
  <c r="P30" i="3"/>
  <c r="R44" i="3"/>
  <c r="S17" i="3"/>
  <c r="T17" i="3" s="1"/>
  <c r="U17" i="3" s="1"/>
  <c r="T15" i="3"/>
  <c r="D87" i="7"/>
  <c r="E70" i="7" s="1"/>
  <c r="E87" i="7"/>
  <c r="F70" i="7" s="1"/>
  <c r="G57" i="7"/>
  <c r="T29" i="3" l="1"/>
  <c r="S44" i="3"/>
  <c r="T44" i="3" s="1"/>
  <c r="U44" i="3" s="1"/>
  <c r="Q30" i="3"/>
  <c r="V17" i="3"/>
  <c r="F82" i="7"/>
  <c r="F76" i="7"/>
  <c r="F71" i="7"/>
  <c r="F77" i="7"/>
  <c r="F75" i="7"/>
  <c r="F79" i="7"/>
  <c r="F73" i="7"/>
  <c r="F81" i="7"/>
  <c r="F80" i="7"/>
  <c r="F74" i="7"/>
  <c r="F72" i="7"/>
  <c r="F78" i="7"/>
  <c r="E78" i="7"/>
  <c r="E71" i="7"/>
  <c r="E72" i="7"/>
  <c r="E82" i="7"/>
  <c r="E77" i="7"/>
  <c r="E79" i="7"/>
  <c r="E73" i="7"/>
  <c r="E74" i="7"/>
  <c r="E76" i="7"/>
  <c r="E75" i="7"/>
  <c r="E81" i="7"/>
  <c r="E80" i="7"/>
  <c r="A5" i="4"/>
  <c r="R30" i="3" l="1"/>
  <c r="S30" i="3" s="1"/>
  <c r="A33" i="8"/>
  <c r="A34" i="8" s="1"/>
  <c r="E83" i="7"/>
  <c r="E84" i="7"/>
  <c r="F84" i="7"/>
  <c r="F83" i="7"/>
  <c r="B29" i="1"/>
  <c r="A52" i="1" s="1"/>
  <c r="B23" i="1"/>
  <c r="B24" i="1" s="1"/>
  <c r="B25" i="1" s="1"/>
  <c r="B26" i="1" s="1"/>
  <c r="E29" i="1" l="1"/>
  <c r="B56" i="1" s="1"/>
  <c r="A50" i="1"/>
  <c r="H30" i="1"/>
  <c r="D52" i="1" s="1"/>
  <c r="H28" i="1"/>
  <c r="H29" i="1"/>
  <c r="D51" i="1" s="1"/>
  <c r="B20" i="3"/>
  <c r="B19" i="3"/>
  <c r="T30" i="3"/>
  <c r="U30" i="3" s="1"/>
  <c r="B21" i="3"/>
  <c r="E31" i="1"/>
  <c r="G43" i="1" s="1"/>
  <c r="G44" i="1" s="1"/>
  <c r="E30" i="1"/>
  <c r="A54" i="7"/>
  <c r="A55" i="7" s="1"/>
  <c r="B57" i="7" s="1"/>
  <c r="Q42" i="7"/>
  <c r="R42" i="7"/>
  <c r="A35" i="8"/>
  <c r="B18" i="3" l="1"/>
  <c r="D50" i="1"/>
  <c r="F43" i="1"/>
  <c r="B26" i="3"/>
  <c r="B27" i="3"/>
  <c r="B28" i="3"/>
  <c r="B24" i="3"/>
  <c r="B23" i="3"/>
  <c r="B25" i="3"/>
  <c r="B22" i="3"/>
  <c r="B29" i="3"/>
  <c r="B12" i="9"/>
  <c r="B10" i="9"/>
  <c r="B6" i="9"/>
  <c r="B7" i="9"/>
  <c r="B8" i="3"/>
  <c r="B9" i="9"/>
  <c r="B11" i="9"/>
  <c r="B8" i="9"/>
  <c r="E51" i="1"/>
  <c r="F38" i="1" s="1"/>
  <c r="B6" i="3"/>
  <c r="E50" i="1"/>
  <c r="F37" i="1" s="1"/>
  <c r="B7" i="3"/>
  <c r="B58" i="7"/>
  <c r="D89" i="7" s="1"/>
  <c r="G31" i="8"/>
  <c r="G39" i="8" s="1"/>
  <c r="B13" i="3"/>
  <c r="B10" i="3"/>
  <c r="B14" i="3"/>
  <c r="E52" i="1"/>
  <c r="B12" i="3"/>
  <c r="B11" i="3"/>
  <c r="B9" i="3"/>
  <c r="F44" i="1" l="1"/>
  <c r="G52" i="1"/>
  <c r="B33" i="1" a="1"/>
  <c r="B33" i="1" s="1"/>
  <c r="C35" i="1" s="1"/>
  <c r="C38" i="1" s="1"/>
  <c r="C33" i="1"/>
  <c r="A65" i="1"/>
  <c r="B115" i="7" a="1"/>
  <c r="B115" i="7" s="1"/>
  <c r="D94" i="7"/>
  <c r="C88" i="7"/>
  <c r="E88" i="7"/>
  <c r="B90" i="7"/>
  <c r="C89" i="7"/>
  <c r="B88" i="7"/>
  <c r="D88" i="7"/>
  <c r="E89" i="7"/>
  <c r="B39" i="8"/>
  <c r="B40" i="8" s="1"/>
  <c r="B65" i="1" l="1"/>
  <c r="E69" i="1" s="1"/>
  <c r="C34" i="1"/>
  <c r="D34" i="1" s="1"/>
  <c r="D37" i="1" s="1"/>
  <c r="D35" i="1"/>
  <c r="D38" i="1" s="1"/>
  <c r="E38" i="1" s="1"/>
  <c r="C36" i="1"/>
  <c r="D36" i="1" s="1"/>
  <c r="E36" i="1" s="1"/>
  <c r="E61" i="1"/>
  <c r="E60" i="1"/>
  <c r="B131" i="7"/>
  <c r="H135" i="7" s="1"/>
  <c r="B141" i="7"/>
  <c r="B126" i="7"/>
  <c r="B127" i="7"/>
  <c r="B146" i="7"/>
  <c r="E145" i="7"/>
  <c r="B145" i="7"/>
  <c r="E148" i="7"/>
  <c r="E147" i="7"/>
  <c r="B147" i="7"/>
  <c r="B148" i="7"/>
  <c r="E146" i="7"/>
  <c r="H71" i="1" l="1"/>
  <c r="E70" i="1"/>
  <c r="C37" i="1"/>
  <c r="E37" i="1" s="1"/>
  <c r="B75" i="1"/>
  <c r="H69" i="1"/>
  <c r="E71" i="1"/>
  <c r="B71" i="1"/>
  <c r="H70" i="1"/>
  <c r="D39" i="1"/>
  <c r="E35" i="1"/>
  <c r="E34" i="1"/>
  <c r="C39" i="1"/>
  <c r="E62" i="1"/>
  <c r="H61" i="1"/>
  <c r="H60" i="1"/>
  <c r="A75" i="1"/>
  <c r="E137" i="7"/>
  <c r="H136" i="7"/>
  <c r="E135" i="7"/>
  <c r="H137" i="7"/>
  <c r="B137" i="7"/>
  <c r="B136" i="7"/>
  <c r="B135" i="7"/>
  <c r="E136" i="7"/>
  <c r="B149" i="7"/>
  <c r="H148" i="7"/>
  <c r="H147" i="7"/>
  <c r="H146" i="7"/>
  <c r="H145" i="7"/>
  <c r="E149" i="7"/>
  <c r="E39" i="1" l="1"/>
  <c r="H62" i="1"/>
  <c r="B128" i="7"/>
  <c r="E138" i="7"/>
  <c r="H149" i="7"/>
  <c r="B138" i="7"/>
  <c r="H138" i="7"/>
  <c r="H82" i="1" l="1"/>
  <c r="E82" i="1" l="1"/>
  <c r="H81" i="1" l="1"/>
  <c r="H80" i="1"/>
  <c r="E80" i="1"/>
  <c r="E81" i="1"/>
  <c r="H72" i="1" l="1"/>
  <c r="E72" i="1"/>
  <c r="H79" i="1"/>
  <c r="H83" i="1" s="1"/>
  <c r="E79" i="1"/>
  <c r="E83" i="1" s="1"/>
  <c r="K7" i="3" l="1"/>
  <c r="B69" i="1" l="1"/>
  <c r="B60" i="1"/>
  <c r="L7" i="3"/>
  <c r="B82" i="1"/>
  <c r="B81" i="1"/>
  <c r="B70" i="1" l="1"/>
  <c r="B80" i="1" s="1"/>
  <c r="B61" i="1"/>
  <c r="B62" i="1" s="1"/>
  <c r="B79" i="1"/>
  <c r="B83" i="1" l="1"/>
  <c r="B7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<sst xmlns="http://schemas.openxmlformats.org/spreadsheetml/2006/main" count="790" uniqueCount="360">
  <si>
    <t>Module Data (STC)</t>
  </si>
  <si>
    <t>Entry Fields</t>
  </si>
  <si>
    <t>Step 1: Enter Module &amp; Temps</t>
  </si>
  <si>
    <t>Open Circuit Voltage</t>
  </si>
  <si>
    <t>Voc</t>
  </si>
  <si>
    <t>V</t>
  </si>
  <si>
    <t>Positive only</t>
  </si>
  <si>
    <t>Maximum Power Voltage</t>
  </si>
  <si>
    <t>Vmp</t>
  </si>
  <si>
    <t>Short Circuit Current</t>
  </si>
  <si>
    <t>Isc</t>
  </si>
  <si>
    <t>A</t>
  </si>
  <si>
    <t>16.9 A max</t>
  </si>
  <si>
    <t>Maximum Power Current</t>
  </si>
  <si>
    <t>Imp</t>
  </si>
  <si>
    <t>13.5 A max</t>
  </si>
  <si>
    <t xml:space="preserve">Temp. Coeff. of Voc </t>
  </si>
  <si>
    <t>βvoc</t>
  </si>
  <si>
    <t>%/⁰C</t>
  </si>
  <si>
    <t>Values have to be negative; never less than -1%</t>
  </si>
  <si>
    <t>Temp. Coeff. Of Max Power</t>
  </si>
  <si>
    <t>βmp</t>
  </si>
  <si>
    <t>Maximum Power</t>
  </si>
  <si>
    <t>Pmax</t>
  </si>
  <si>
    <t>W</t>
  </si>
  <si>
    <t>700 W max</t>
  </si>
  <si>
    <t>Location Temperature</t>
  </si>
  <si>
    <t>Temp Lookup</t>
  </si>
  <si>
    <t>Degrees</t>
  </si>
  <si>
    <t>C</t>
  </si>
  <si>
    <t>Choose C or F</t>
  </si>
  <si>
    <t>Lowest Temperature</t>
  </si>
  <si>
    <t>Highest Temperature</t>
  </si>
  <si>
    <t>System Info</t>
  </si>
  <si>
    <t>System Voltage</t>
  </si>
  <si>
    <t>System Location</t>
  </si>
  <si>
    <t>Rooftop</t>
  </si>
  <si>
    <t>Default</t>
  </si>
  <si>
    <t>Module</t>
  </si>
  <si>
    <t>Inverter</t>
  </si>
  <si>
    <t>STC Temp</t>
  </si>
  <si>
    <t>Min V</t>
  </si>
  <si>
    <t>volts</t>
  </si>
  <si>
    <t>Temp below STC</t>
  </si>
  <si>
    <t>deg</t>
  </si>
  <si>
    <t>Max V</t>
  </si>
  <si>
    <t>Temp Coeff Change</t>
  </si>
  <si>
    <t>Max Isc</t>
  </si>
  <si>
    <t>amps</t>
  </si>
  <si>
    <t>Voltage Increase</t>
  </si>
  <si>
    <t>v</t>
  </si>
  <si>
    <t>w</t>
  </si>
  <si>
    <t>Voltage at lowest Temp</t>
  </si>
  <si>
    <t>Efficiency</t>
  </si>
  <si>
    <t>Min String Length 3.8</t>
  </si>
  <si>
    <t xml:space="preserve">Min Voltage </t>
  </si>
  <si>
    <t>Max String Length 3.8</t>
  </si>
  <si>
    <t>Min String Length 7.6</t>
  </si>
  <si>
    <t>Max Sting Length 7.6</t>
  </si>
  <si>
    <t>Min String Length 11.4</t>
  </si>
  <si>
    <t>System Calcs</t>
  </si>
  <si>
    <t>Max String Length 11.4</t>
  </si>
  <si>
    <t>DC Wattage</t>
  </si>
  <si>
    <t>MPPTs Required</t>
  </si>
  <si>
    <t>MPPTs Required / Inverter</t>
  </si>
  <si>
    <t>Max Modules / inverter</t>
  </si>
  <si>
    <t>System Size</t>
  </si>
  <si>
    <t>Size Allowed / Inverter</t>
  </si>
  <si>
    <t>Step 2:</t>
  </si>
  <si>
    <t>Size Wanted / Existing</t>
  </si>
  <si>
    <t>Min</t>
  </si>
  <si>
    <t>Max</t>
  </si>
  <si>
    <t>Enter in System Size Desired</t>
  </si>
  <si>
    <t>Units</t>
  </si>
  <si>
    <t>Module Qty</t>
  </si>
  <si>
    <t>Modules</t>
  </si>
  <si>
    <t>kW</t>
  </si>
  <si>
    <t>Max DC/AC Ratio Wanted</t>
  </si>
  <si>
    <t>%</t>
  </si>
  <si>
    <t>String Lengths</t>
  </si>
  <si>
    <t>Actual Array Characteristics</t>
  </si>
  <si>
    <t>** Max string size rounds down</t>
  </si>
  <si>
    <t>Inverter Size</t>
  </si>
  <si>
    <t>** Will cause Actual DC / AC Ratio to be lower than limit</t>
  </si>
  <si>
    <t>System Size (kW)</t>
  </si>
  <si>
    <t>** Min string size rounds up</t>
  </si>
  <si>
    <t>Qty.</t>
  </si>
  <si>
    <t>Step 3: System Configuration</t>
  </si>
  <si>
    <t>3.8 Inverters</t>
  </si>
  <si>
    <t>** OR will appear next to the quantity if upsizing the inverter is desired</t>
  </si>
  <si>
    <t>Inverter 1: MPPT Configuration</t>
  </si>
  <si>
    <t>Inverter 2: MPPT Configuration</t>
  </si>
  <si>
    <t>Inverter 3: MPPT Configuration</t>
  </si>
  <si>
    <t>Mppt #</t>
  </si>
  <si>
    <t>DC/AC Ratio</t>
  </si>
  <si>
    <t>7.6 Inverters</t>
  </si>
  <si>
    <t>11.4 Inverters</t>
  </si>
  <si>
    <t>Terms &amp; Conditions</t>
  </si>
  <si>
    <t>THE USER OF THIS TOOL HAS ACKNOWLEDGED:</t>
  </si>
  <si>
    <t>The EI Inverter &amp; String Sizing Tool is offered free of charge as a guide only.</t>
  </si>
  <si>
    <t>It is the responsibility of the system design engineer to ensure that the PV module characteristics and system settings are appropriate for the system being considered.</t>
  </si>
  <si>
    <t>The user agreees to use this EI Inverter &amp; String Sizer Tool spreadsheet at their own risk and with the knowledge that Tigo Energy will not be liable to the user for any damages, injury or death as a result of use of the EI Inverter &amp; String Sizing Tool.</t>
  </si>
  <si>
    <t>Toggle on and off different loads with the "Yes" or "No" selections under Include.</t>
  </si>
  <si>
    <t>To turn off whole tiers, see rows 44-46.</t>
  </si>
  <si>
    <t>&lt;&lt; Editable cells have a green outline.</t>
  </si>
  <si>
    <t>Tier</t>
  </si>
  <si>
    <t>Item</t>
  </si>
  <si>
    <t>Rating (W)</t>
  </si>
  <si>
    <t>#</t>
  </si>
  <si>
    <t>Hours</t>
  </si>
  <si>
    <t>Power (W)</t>
  </si>
  <si>
    <t>Energy (Wh)</t>
  </si>
  <si>
    <t>Include</t>
  </si>
  <si>
    <t>Tier 1</t>
  </si>
  <si>
    <t>Refrigerator</t>
  </si>
  <si>
    <t>Yes</t>
  </si>
  <si>
    <t>Battery Power (kW) and Energy (kWh) available</t>
  </si>
  <si>
    <t>WiFi Router + modem</t>
  </si>
  <si>
    <t>Inverter size (kW)</t>
  </si>
  <si>
    <t># of EI Batteries</t>
  </si>
  <si>
    <t>Max PV capacity (kW)</t>
  </si>
  <si>
    <t>Breaker space (A)</t>
  </si>
  <si>
    <t>Laptop</t>
  </si>
  <si>
    <t>Monitor</t>
  </si>
  <si>
    <t>Max Continuous Power (kW)</t>
  </si>
  <si>
    <t>Device Charger</t>
  </si>
  <si>
    <t>TV &amp; Cable</t>
  </si>
  <si>
    <t>Game console</t>
  </si>
  <si>
    <t>Kitchen lights</t>
  </si>
  <si>
    <t>Total Usable Energy (kWh)</t>
  </si>
  <si>
    <t>Bathroom lights</t>
  </si>
  <si>
    <t>ALL</t>
  </si>
  <si>
    <t>Bedroom lights</t>
  </si>
  <si>
    <t>Garage door</t>
  </si>
  <si>
    <t>Microwave</t>
  </si>
  <si>
    <t>Backup: Power (% of max) and Energy (days)</t>
  </si>
  <si>
    <t>Ceiling Fan</t>
  </si>
  <si>
    <t>Coffee Maker</t>
  </si>
  <si>
    <t>Tier 1 Total</t>
  </si>
  <si>
    <t>% of Power Required</t>
  </si>
  <si>
    <t>Tier 2</t>
  </si>
  <si>
    <t>Sump Pump</t>
  </si>
  <si>
    <t>No</t>
  </si>
  <si>
    <t>Dishwasher</t>
  </si>
  <si>
    <t>Air Conditioner (Window)</t>
  </si>
  <si>
    <t>Backup Energy Available</t>
  </si>
  <si>
    <t>Furnace Blower Motor</t>
  </si>
  <si>
    <t># hours</t>
  </si>
  <si>
    <t>Washing Machine</t>
  </si>
  <si>
    <t># days</t>
  </si>
  <si>
    <t>Tier 2 Total</t>
  </si>
  <si>
    <t>Tier 3</t>
  </si>
  <si>
    <t>Backup energy available with solar production (% of daily energy covered)</t>
  </si>
  <si>
    <t>System Size (kW):</t>
  </si>
  <si>
    <t>Minisplit - 1 zone</t>
  </si>
  <si>
    <t>Minisplit - 4 zone</t>
  </si>
  <si>
    <t>Capacity Factor (%)</t>
  </si>
  <si>
    <t>Daily PV Energy (kWh)</t>
  </si>
  <si>
    <t>Note</t>
  </si>
  <si>
    <t>Heater - electric</t>
  </si>
  <si>
    <t>Heater - heat pump</t>
  </si>
  <si>
    <t>% of Daily Energy Covered</t>
  </si>
  <si>
    <t>Capacity factor: ratio of energy output to PV system size. Sunny summer CA day: ~25%. Cloudy, stormy: &lt;5%.</t>
  </si>
  <si>
    <t>Water Heater - electric</t>
  </si>
  <si>
    <t>Stove - electric</t>
  </si>
  <si>
    <t>Clothes Dryer</t>
  </si>
  <si>
    <t>Well Pump</t>
  </si>
  <si>
    <t>Electric Vehicle Charger</t>
  </si>
  <si>
    <t>Tier 3 Total</t>
  </si>
  <si>
    <t>Battery Assumptions - Power (kW) and Usable Energy (kWh)</t>
  </si>
  <si>
    <t>Totals</t>
  </si>
  <si>
    <t>Selections</t>
  </si>
  <si>
    <t>Power (kW)</t>
  </si>
  <si>
    <t>Grand Total</t>
  </si>
  <si>
    <t>Energy (kWh)</t>
  </si>
  <si>
    <t>Backup System Requirements</t>
  </si>
  <si>
    <t>Step 1:</t>
  </si>
  <si>
    <t>Backup Hours Needed Per Day</t>
  </si>
  <si>
    <t>Cannot be greater than 24</t>
  </si>
  <si>
    <t>Enter Backup Load Requirements</t>
  </si>
  <si>
    <t>Minimum Battery Reserve</t>
  </si>
  <si>
    <t>Default to 10%, Max of 50%</t>
  </si>
  <si>
    <t>Backup Load Calculations</t>
  </si>
  <si>
    <t>Power (Cont.)</t>
  </si>
  <si>
    <t>Power (Surge)</t>
  </si>
  <si>
    <t>Hrs per Day</t>
  </si>
  <si>
    <t>Qty</t>
  </si>
  <si>
    <t>Item Consumption</t>
  </si>
  <si>
    <t>Lights</t>
  </si>
  <si>
    <t>kWh</t>
  </si>
  <si>
    <t>None</t>
  </si>
  <si>
    <t>Total:</t>
  </si>
  <si>
    <t>Watts</t>
  </si>
  <si>
    <t>Total Power Needed</t>
  </si>
  <si>
    <t>Total Surge Power Needed</t>
  </si>
  <si>
    <t>Total Consumption Needed</t>
  </si>
  <si>
    <t>Battery Reserve Energy Needed</t>
  </si>
  <si>
    <t>Total Energy Needed</t>
  </si>
  <si>
    <t>Wh</t>
  </si>
  <si>
    <t>Battery Qty Needed</t>
  </si>
  <si>
    <t>Min. EI Inverter Needed</t>
  </si>
  <si>
    <t>Battery Capacity</t>
  </si>
  <si>
    <t>TSB-10-XX</t>
  </si>
  <si>
    <t>Calculate Battery Size Required</t>
  </si>
  <si>
    <t>kWh Check</t>
  </si>
  <si>
    <t>Power/Inverter Qty Check</t>
  </si>
  <si>
    <t>Battery Backup (No Solar)</t>
  </si>
  <si>
    <t>Self-Consumption</t>
  </si>
  <si>
    <t>Autonomy Expected (h)</t>
  </si>
  <si>
    <t>hrs</t>
  </si>
  <si>
    <t>Avg. Daily Depth of Discharge</t>
  </si>
  <si>
    <t>Worse Case (h)</t>
  </si>
  <si>
    <t>Input Cell</t>
  </si>
  <si>
    <t>Enter Module &amp; Temp Info</t>
  </si>
  <si>
    <t xml:space="preserve">Temp. Coeff. of Max Power </t>
  </si>
  <si>
    <t>Backup Hours / Day Needed</t>
  </si>
  <si>
    <t>Minimum of 10%, Max of 50%</t>
  </si>
  <si>
    <t>Pull Temp Data here</t>
  </si>
  <si>
    <t>Power</t>
  </si>
  <si>
    <t>Surge</t>
  </si>
  <si>
    <t>Garage Door Opener</t>
  </si>
  <si>
    <t>Laptop / PC</t>
  </si>
  <si>
    <t>Wifi Router</t>
  </si>
  <si>
    <t>A46 Old Equation</t>
  </si>
  <si>
    <t>A45 Old Equation</t>
  </si>
  <si>
    <t>Min. EI Battery Inverter Needed</t>
  </si>
  <si>
    <t>Max Solar Allowed</t>
  </si>
  <si>
    <t>Step 3:</t>
  </si>
  <si>
    <t>Inverter Qty Check</t>
  </si>
  <si>
    <t>kW DC</t>
  </si>
  <si>
    <t>Specify Largest System Size Possible</t>
  </si>
  <si>
    <t>kW AC</t>
  </si>
  <si>
    <t>** Attach batteries to largest inverter</t>
  </si>
  <si>
    <t>Max Battery Discharge</t>
  </si>
  <si>
    <t>NREL API - Future</t>
  </si>
  <si>
    <t>API Key</t>
  </si>
  <si>
    <t>WHGYFoNh0lxs0n0b8yZdr3vlI9PnFOC5xKNeW65z</t>
  </si>
  <si>
    <t>URL:</t>
  </si>
  <si>
    <t>Best Avg Prod / Day</t>
  </si>
  <si>
    <t>Step 4:</t>
  </si>
  <si>
    <t>Tilt</t>
  </si>
  <si>
    <t>Deg</t>
  </si>
  <si>
    <t>Worse Case Prod / Day</t>
  </si>
  <si>
    <t>Enter in Solar Array Information</t>
  </si>
  <si>
    <t>Azimuth</t>
  </si>
  <si>
    <t>Existing or Potential</t>
  </si>
  <si>
    <t>Zip Code</t>
  </si>
  <si>
    <t>Tigo MLPE</t>
  </si>
  <si>
    <t>O/H</t>
  </si>
  <si>
    <t>Daily Prod</t>
  </si>
  <si>
    <t>System Production</t>
  </si>
  <si>
    <t>Monthly</t>
  </si>
  <si>
    <t>AC</t>
  </si>
  <si>
    <t>Losses</t>
  </si>
  <si>
    <t>Non-Opt</t>
  </si>
  <si>
    <t>Optimizer</t>
  </si>
  <si>
    <t>Jan</t>
  </si>
  <si>
    <t>Soiling</t>
  </si>
  <si>
    <t>Feb</t>
  </si>
  <si>
    <t>Shading</t>
  </si>
  <si>
    <t>Mar</t>
  </si>
  <si>
    <t>Snow</t>
  </si>
  <si>
    <t>Apr</t>
  </si>
  <si>
    <t>Mismatch</t>
  </si>
  <si>
    <t>May</t>
  </si>
  <si>
    <t>Wiring</t>
  </si>
  <si>
    <t>June</t>
  </si>
  <si>
    <t>Connections</t>
  </si>
  <si>
    <t>July</t>
  </si>
  <si>
    <t>Light-Induced Degradation</t>
  </si>
  <si>
    <t>Aug</t>
  </si>
  <si>
    <t>Nameplate Rating</t>
  </si>
  <si>
    <t>Sept</t>
  </si>
  <si>
    <t>Age</t>
  </si>
  <si>
    <t>Oct</t>
  </si>
  <si>
    <t>Availability</t>
  </si>
  <si>
    <t>Nov</t>
  </si>
  <si>
    <t>Dec</t>
  </si>
  <si>
    <t>System Total:</t>
  </si>
  <si>
    <t>Battery Backup (hours)</t>
  </si>
  <si>
    <t>PV Impact (hrs)</t>
  </si>
  <si>
    <t>Step 5:</t>
  </si>
  <si>
    <t>No PV</t>
  </si>
  <si>
    <t>DC</t>
  </si>
  <si>
    <t>Backup w/ Solar Calculations</t>
  </si>
  <si>
    <t>Autonomy Expected (h) - Summer</t>
  </si>
  <si>
    <t>Could be more intelligent here</t>
  </si>
  <si>
    <t>Autonomy Expected (h) - Winter</t>
  </si>
  <si>
    <t>Genability</t>
  </si>
  <si>
    <t>Self-Consumption Daily (hours)</t>
  </si>
  <si>
    <t>% Energy Consumed outside of PV Window</t>
  </si>
  <si>
    <t>Avg. Daily Depth of Charge</t>
  </si>
  <si>
    <t>Solar System Size Wanted</t>
  </si>
  <si>
    <t>Unit</t>
  </si>
  <si>
    <t>Max DC/AC Ratio</t>
  </si>
  <si>
    <t>Minimum String Length</t>
  </si>
  <si>
    <t>3.8 String Lengths</t>
  </si>
  <si>
    <t>7.6 String Lengths</t>
  </si>
  <si>
    <t>11.4 String Lengths</t>
  </si>
  <si>
    <t>Solar Configuration</t>
  </si>
  <si>
    <t>Grid Voltage</t>
  </si>
  <si>
    <t>System Sizing</t>
  </si>
  <si>
    <t>Inverter Standby Power</t>
  </si>
  <si>
    <t>Type</t>
  </si>
  <si>
    <t>3.8 Eff.</t>
  </si>
  <si>
    <t>7.6 Eff.</t>
  </si>
  <si>
    <t>11.4 Eff.</t>
  </si>
  <si>
    <t>F</t>
  </si>
  <si>
    <t>F/2F/M/S</t>
  </si>
  <si>
    <t>Ground Mount</t>
  </si>
  <si>
    <t>Module Quantities / MPPT</t>
  </si>
  <si>
    <t>1-Phase</t>
  </si>
  <si>
    <t>MPPTs Req.</t>
  </si>
  <si>
    <t>ID</t>
  </si>
  <si>
    <t>MPPTs</t>
  </si>
  <si>
    <t>3-Phase</t>
  </si>
  <si>
    <t>Inverter 2</t>
  </si>
  <si>
    <t>3-phase</t>
  </si>
  <si>
    <t>Inverter 3</t>
  </si>
  <si>
    <t>Battery Size (kWh)</t>
  </si>
  <si>
    <t>TSB-10</t>
  </si>
  <si>
    <t>Charge</t>
  </si>
  <si>
    <t>Discharge - Cont</t>
  </si>
  <si>
    <t>Discharge - Surge</t>
  </si>
  <si>
    <t>1 Port Used (1 Battery Cabinet)</t>
  </si>
  <si>
    <t>Load Power</t>
  </si>
  <si>
    <t>Surge Power</t>
  </si>
  <si>
    <t>2 Ports Used (&gt;2 Battery Cabinets)</t>
  </si>
  <si>
    <t>4 Battery Cabinets</t>
  </si>
  <si>
    <t>Inverter Efficiency</t>
  </si>
  <si>
    <t>Inverter Standy Power</t>
  </si>
  <si>
    <t>Name</t>
  </si>
  <si>
    <t>Operating Power</t>
  </si>
  <si>
    <t>Daily Usage</t>
  </si>
  <si>
    <t>Hrs</t>
  </si>
  <si>
    <t>Air Conditioner</t>
  </si>
  <si>
    <t>Coffee Machine</t>
  </si>
  <si>
    <t>Electric Clothes Dryer</t>
  </si>
  <si>
    <t>Electric Oven/Stove</t>
  </si>
  <si>
    <t>Electric Vehicle</t>
  </si>
  <si>
    <t>Electric Water Heater</t>
  </si>
  <si>
    <t>Electric Heater - Portable</t>
  </si>
  <si>
    <t>Freezer</t>
  </si>
  <si>
    <t>Gas Furnace - 1/2 HP</t>
  </si>
  <si>
    <t>Hair Dryer</t>
  </si>
  <si>
    <t>Mobile Charger</t>
  </si>
  <si>
    <t>Sump Pump - 1/3 HP</t>
  </si>
  <si>
    <t>Tankless Electric Water Heater</t>
  </si>
  <si>
    <t>Television</t>
  </si>
  <si>
    <t>Vacuum Cleaner</t>
  </si>
  <si>
    <t>Gas Water Heater</t>
  </si>
  <si>
    <t>Minisplit Heat/AC</t>
  </si>
  <si>
    <t>Heat Pump</t>
  </si>
  <si>
    <t>Module Voltage (Adjusted)</t>
  </si>
  <si>
    <t>Voc @ Min. Temp</t>
  </si>
  <si>
    <t>Vmp @ Max. Temp</t>
  </si>
  <si>
    <t>Tigo Battery Backup Tool (US Inverters and Batteries)</t>
  </si>
  <si>
    <t>AC (1 ton)</t>
  </si>
  <si>
    <t>AC (2 ton)</t>
  </si>
  <si>
    <t>PN: 002-00198-00 | version 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</si>
</sst>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"/>
    <numFmt numFmtId="165" formatCode="0.000"/>
    <numFmt numFmtId="166" formatCode="0.0%"/>
    <numFmt numFmtId="167" formatCode="_(* #,##0_);_(* \(#,##0\);_(* &quot;-&quot;??_);_(@_)"/>
  </numFmts>
  <fonts count="2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theme="1"/>
      <name val="Tahoma"/>
      <family val="2"/>
    </font>
    <font>
      <b/>
      <sz val="12"/>
      <color theme="1"/>
      <name val="Tahoma"/>
      <family val="2"/>
    </font>
    <font>
      <b/>
      <sz val="10"/>
      <color theme="1"/>
      <name val="Tahoma"/>
      <family val="2"/>
    </font>
    <font>
      <i/>
      <sz val="10"/>
      <color theme="1"/>
      <name val="Tahoma"/>
      <family val="2"/>
    </font>
    <font>
      <b/>
      <sz val="10"/>
      <color theme="2"/>
      <name val="Tahoma"/>
      <family val="2"/>
    </font>
    <font>
      <b/>
      <sz val="10"/>
      <color theme="0"/>
      <name val="Tahoma"/>
      <family val="2"/>
    </font>
    <font>
      <sz val="8"/>
      <color theme="1"/>
      <name val="Tahoma"/>
      <family val="2"/>
    </font>
    <font>
      <sz val="10"/>
      <color theme="0"/>
      <name val="Tahoma"/>
      <family val="2"/>
    </font>
    <font>
      <sz val="12"/>
      <color theme="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548235"/>
        <bgColor rgb="FF000000"/>
      </patternFill>
    </fill>
    <fill>
      <patternFill patternType="solid">
        <fgColor theme="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684C"/>
        <bgColor indexed="64"/>
      </patternFill>
    </fill>
    <fill>
      <patternFill patternType="solid">
        <fgColor theme="2" tint="-4.9989318521683403E-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3"/>
      </left>
      <right style="thin">
        <color indexed="64"/>
      </right>
      <top style="thin">
        <color indexed="64"/>
      </top>
      <bottom/>
      <diagonal/>
    </border>
    <border>
      <left style="thin">
        <color theme="3"/>
      </left>
      <right style="thin">
        <color indexed="64"/>
      </right>
      <top/>
      <bottom/>
      <diagonal/>
    </border>
    <border>
      <left style="thin">
        <color theme="3"/>
      </left>
      <right style="thin">
        <color indexed="64"/>
      </right>
      <top/>
      <bottom style="thin">
        <color indexed="64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/>
      <diagonal/>
    </border>
    <border>
      <left style="medium">
        <color theme="9"/>
      </left>
      <right style="medium">
        <color theme="9"/>
      </right>
      <top/>
      <bottom/>
      <diagonal/>
    </border>
    <border>
      <left style="medium">
        <color theme="9"/>
      </left>
      <right style="medium">
        <color theme="9"/>
      </right>
      <top/>
      <bottom style="medium">
        <color theme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35">
    <xf numFmtId="0" fontId="0" fillId="0" borderId="0" xfId="0"/>
    <xf numFmtId="0" fontId="0" fillId="3" borderId="1" xfId="0" applyFill="1" applyBorder="1" applyAlignment="1">
      <alignment horizontal="center" vertical="center" shrinkToFit="1"/>
    </xf>
    <xf numFmtId="164" fontId="4" fillId="4" borderId="1" xfId="0" applyNumberFormat="1" applyFont="1" applyFill="1" applyBorder="1" applyAlignment="1" applyProtection="1">
      <alignment horizontal="center" vertical="center" shrinkToFit="1"/>
      <protection locked="0"/>
    </xf>
    <xf numFmtId="0" fontId="0" fillId="6" borderId="0" xfId="0" applyFill="1"/>
    <xf numFmtId="1" fontId="0" fillId="7" borderId="0" xfId="0" applyNumberFormat="1" applyFill="1"/>
    <xf numFmtId="165" fontId="0" fillId="7" borderId="0" xfId="0" applyNumberFormat="1" applyFill="1"/>
    <xf numFmtId="0" fontId="0" fillId="7" borderId="0" xfId="0" applyFill="1"/>
    <xf numFmtId="164" fontId="0" fillId="7" borderId="0" xfId="0" applyNumberFormat="1" applyFill="1"/>
    <xf numFmtId="0" fontId="2" fillId="0" borderId="0" xfId="0" applyFont="1"/>
    <xf numFmtId="9" fontId="4" fillId="5" borderId="1" xfId="1" applyFont="1" applyFill="1" applyBorder="1" applyAlignment="1" applyProtection="1">
      <alignment horizontal="center" vertical="center" shrinkToFit="1"/>
      <protection locked="0"/>
    </xf>
    <xf numFmtId="0" fontId="6" fillId="0" borderId="0" xfId="0" applyFont="1"/>
    <xf numFmtId="1" fontId="0" fillId="0" borderId="0" xfId="0" applyNumberFormat="1"/>
    <xf numFmtId="0" fontId="7" fillId="0" borderId="0" xfId="0" applyFont="1"/>
    <xf numFmtId="0" fontId="0" fillId="0" borderId="1" xfId="0" applyBorder="1" applyAlignment="1">
      <alignment horizontal="center" vertical="center"/>
    </xf>
    <xf numFmtId="0" fontId="3" fillId="2" borderId="2" xfId="0" applyFont="1" applyFill="1" applyBorder="1" applyAlignment="1">
      <alignment vertical="center" shrinkToFit="1"/>
    </xf>
    <xf numFmtId="0" fontId="9" fillId="3" borderId="1" xfId="0" applyFont="1" applyFill="1" applyBorder="1" applyAlignment="1">
      <alignment horizontal="center" vertical="center" shrinkToFit="1"/>
    </xf>
    <xf numFmtId="0" fontId="0" fillId="0" borderId="6" xfId="0" applyBorder="1"/>
    <xf numFmtId="164" fontId="4" fillId="5" borderId="1" xfId="0" applyNumberFormat="1" applyFont="1" applyFill="1" applyBorder="1" applyAlignment="1" applyProtection="1">
      <alignment horizontal="center" vertical="center" shrinkToFit="1"/>
      <protection locked="0"/>
    </xf>
    <xf numFmtId="0" fontId="9" fillId="0" borderId="1" xfId="0" applyFont="1" applyBorder="1" applyAlignment="1">
      <alignment horizontal="center" vertical="center" shrinkToFit="1"/>
    </xf>
    <xf numFmtId="164" fontId="4" fillId="4" borderId="2" xfId="0" applyNumberFormat="1" applyFont="1" applyFill="1" applyBorder="1" applyAlignment="1" applyProtection="1">
      <alignment horizontal="center" vertical="center" shrinkToFit="1"/>
      <protection locked="0"/>
    </xf>
    <xf numFmtId="9" fontId="0" fillId="0" borderId="0" xfId="1" applyFont="1"/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right"/>
    </xf>
    <xf numFmtId="0" fontId="0" fillId="0" borderId="1" xfId="0" applyBorder="1"/>
    <xf numFmtId="0" fontId="0" fillId="0" borderId="0" xfId="0" quotePrefix="1"/>
    <xf numFmtId="0" fontId="10" fillId="0" borderId="0" xfId="2"/>
    <xf numFmtId="0" fontId="3" fillId="2" borderId="0" xfId="0" applyFont="1" applyFill="1" applyAlignment="1">
      <alignment vertical="center" shrinkToFit="1"/>
    </xf>
    <xf numFmtId="1" fontId="4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right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9" xfId="0" applyBorder="1"/>
    <xf numFmtId="166" fontId="0" fillId="0" borderId="0" xfId="1" applyNumberFormat="1" applyFont="1"/>
    <xf numFmtId="0" fontId="10" fillId="0" borderId="13" xfId="2" applyBorder="1"/>
    <xf numFmtId="0" fontId="0" fillId="0" borderId="7" xfId="0" applyBorder="1"/>
    <xf numFmtId="0" fontId="3" fillId="2" borderId="5" xfId="0" applyFont="1" applyFill="1" applyBorder="1" applyAlignment="1">
      <alignment vertical="center" shrinkToFit="1"/>
    </xf>
    <xf numFmtId="2" fontId="0" fillId="0" borderId="0" xfId="0" applyNumberFormat="1"/>
    <xf numFmtId="0" fontId="0" fillId="0" borderId="0" xfId="1" applyNumberFormat="1" applyFont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5" xfId="0" applyBorder="1"/>
    <xf numFmtId="164" fontId="4" fillId="4" borderId="1" xfId="0" applyNumberFormat="1" applyFont="1" applyFill="1" applyBorder="1" applyAlignment="1" applyProtection="1">
      <alignment horizontal="left" vertical="center" shrinkToFit="1"/>
      <protection locked="0"/>
    </xf>
    <xf numFmtId="164" fontId="4" fillId="4" borderId="1" xfId="0" applyNumberFormat="1" applyFont="1" applyFill="1" applyBorder="1" applyAlignment="1" applyProtection="1">
      <alignment horizontal="center" shrinkToFit="1"/>
      <protection locked="0"/>
    </xf>
    <xf numFmtId="164" fontId="0" fillId="0" borderId="1" xfId="0" applyNumberFormat="1" applyBorder="1"/>
    <xf numFmtId="164" fontId="4" fillId="4" borderId="1" xfId="0" applyNumberFormat="1" applyFont="1" applyFill="1" applyBorder="1" applyAlignment="1" applyProtection="1">
      <alignment horizontal="right" vertical="center" shrinkToFit="1"/>
      <protection locked="0"/>
    </xf>
    <xf numFmtId="164" fontId="4" fillId="4" borderId="9" xfId="0" applyNumberFormat="1" applyFont="1" applyFill="1" applyBorder="1" applyAlignment="1" applyProtection="1">
      <alignment horizontal="right" vertical="center" shrinkToFit="1"/>
      <protection locked="0"/>
    </xf>
    <xf numFmtId="2" fontId="0" fillId="0" borderId="13" xfId="0" applyNumberFormat="1" applyBorder="1"/>
    <xf numFmtId="9" fontId="0" fillId="0" borderId="1" xfId="1" applyFont="1" applyBorder="1"/>
    <xf numFmtId="0" fontId="0" fillId="8" borderId="0" xfId="0" applyFill="1"/>
    <xf numFmtId="9" fontId="0" fillId="0" borderId="0" xfId="0" applyNumberFormat="1"/>
    <xf numFmtId="9" fontId="12" fillId="0" borderId="1" xfId="0" applyNumberFormat="1" applyFont="1" applyBorder="1"/>
    <xf numFmtId="164" fontId="0" fillId="0" borderId="0" xfId="0" applyNumberFormat="1"/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9" fontId="0" fillId="0" borderId="1" xfId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10" borderId="0" xfId="0" applyFill="1"/>
    <xf numFmtId="1" fontId="0" fillId="0" borderId="1" xfId="0" applyNumberFormat="1" applyBorder="1"/>
    <xf numFmtId="0" fontId="0" fillId="0" borderId="2" xfId="0" applyBorder="1"/>
    <xf numFmtId="0" fontId="0" fillId="0" borderId="3" xfId="0" applyBorder="1"/>
    <xf numFmtId="1" fontId="0" fillId="0" borderId="2" xfId="0" applyNumberFormat="1" applyBorder="1"/>
    <xf numFmtId="1" fontId="4" fillId="6" borderId="1" xfId="0" applyNumberFormat="1" applyFont="1" applyFill="1" applyBorder="1" applyAlignment="1" applyProtection="1">
      <alignment horizontal="center" vertical="center" shrinkToFit="1"/>
      <protection locked="0"/>
    </xf>
    <xf numFmtId="164" fontId="4" fillId="6" borderId="1" xfId="0" applyNumberFormat="1" applyFont="1" applyFill="1" applyBorder="1" applyAlignment="1" applyProtection="1">
      <alignment horizontal="center" vertical="center" shrinkToFit="1"/>
      <protection locked="0"/>
    </xf>
    <xf numFmtId="2" fontId="4" fillId="6" borderId="1" xfId="0" applyNumberFormat="1" applyFont="1" applyFill="1" applyBorder="1" applyAlignment="1" applyProtection="1">
      <alignment horizontal="center" vertical="center" shrinkToFit="1"/>
      <protection locked="0"/>
    </xf>
    <xf numFmtId="10" fontId="4" fillId="6" borderId="1" xfId="0" applyNumberFormat="1" applyFont="1" applyFill="1" applyBorder="1" applyAlignment="1" applyProtection="1">
      <alignment horizontal="center" vertical="center" shrinkToFit="1"/>
      <protection locked="0"/>
    </xf>
    <xf numFmtId="0" fontId="4" fillId="6" borderId="1" xfId="0" applyFont="1" applyFill="1" applyBorder="1" applyAlignment="1" applyProtection="1">
      <alignment horizontal="center" vertical="center" shrinkToFit="1"/>
      <protection locked="0"/>
    </xf>
    <xf numFmtId="1" fontId="4" fillId="6" borderId="9" xfId="0" applyNumberFormat="1" applyFont="1" applyFill="1" applyBorder="1" applyAlignment="1" applyProtection="1">
      <alignment horizontal="center" vertical="center" shrinkToFit="1"/>
      <protection locked="0"/>
    </xf>
    <xf numFmtId="9" fontId="4" fillId="6" borderId="1" xfId="1" applyFont="1" applyFill="1" applyBorder="1" applyAlignment="1" applyProtection="1">
      <alignment horizontal="center" vertical="center" shrinkToFit="1"/>
      <protection locked="0"/>
    </xf>
    <xf numFmtId="0" fontId="2" fillId="6" borderId="0" xfId="0" applyFont="1" applyFill="1"/>
    <xf numFmtId="9" fontId="4" fillId="6" borderId="1" xfId="0" applyNumberFormat="1" applyFont="1" applyFill="1" applyBorder="1" applyAlignment="1" applyProtection="1">
      <alignment horizontal="right" vertical="center" shrinkToFit="1"/>
      <protection locked="0"/>
    </xf>
    <xf numFmtId="164" fontId="4" fillId="4" borderId="1" xfId="0" applyNumberFormat="1" applyFont="1" applyFill="1" applyBorder="1" applyAlignment="1">
      <alignment horizontal="center" vertical="center" shrinkToFit="1"/>
    </xf>
    <xf numFmtId="0" fontId="13" fillId="0" borderId="0" xfId="0" applyFont="1"/>
    <xf numFmtId="0" fontId="14" fillId="0" borderId="0" xfId="0" applyFont="1"/>
    <xf numFmtId="0" fontId="13" fillId="0" borderId="0" xfId="0" applyFont="1" applyAlignment="1">
      <alignment horizontal="center"/>
    </xf>
    <xf numFmtId="0" fontId="15" fillId="0" borderId="0" xfId="0" applyFont="1"/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vertical="top" wrapText="1"/>
    </xf>
    <xf numFmtId="0" fontId="17" fillId="0" borderId="0" xfId="0" applyFont="1"/>
    <xf numFmtId="0" fontId="15" fillId="0" borderId="0" xfId="0" applyFont="1" applyAlignment="1">
      <alignment horizontal="center"/>
    </xf>
    <xf numFmtId="0" fontId="15" fillId="0" borderId="13" xfId="0" applyFont="1" applyBorder="1" applyAlignment="1">
      <alignment horizontal="center"/>
    </xf>
    <xf numFmtId="0" fontId="13" fillId="0" borderId="10" xfId="0" applyFont="1" applyBorder="1"/>
    <xf numFmtId="0" fontId="13" fillId="0" borderId="10" xfId="0" applyFont="1" applyBorder="1" applyProtection="1">
      <protection locked="0"/>
    </xf>
    <xf numFmtId="167" fontId="13" fillId="0" borderId="10" xfId="3" applyNumberFormat="1" applyFont="1" applyBorder="1" applyProtection="1"/>
    <xf numFmtId="0" fontId="15" fillId="0" borderId="16" xfId="0" applyFont="1" applyBorder="1" applyAlignment="1">
      <alignment horizontal="center" vertical="center"/>
    </xf>
    <xf numFmtId="0" fontId="13" fillId="0" borderId="0" xfId="0" applyFont="1" applyProtection="1">
      <protection locked="0"/>
    </xf>
    <xf numFmtId="167" fontId="13" fillId="0" borderId="0" xfId="3" applyNumberFormat="1" applyFont="1" applyBorder="1" applyProtection="1"/>
    <xf numFmtId="0" fontId="18" fillId="13" borderId="19" xfId="0" applyFont="1" applyFill="1" applyBorder="1" applyAlignment="1">
      <alignment horizontal="center" vertical="center"/>
    </xf>
    <xf numFmtId="0" fontId="18" fillId="13" borderId="10" xfId="0" applyFont="1" applyFill="1" applyBorder="1" applyAlignment="1">
      <alignment horizontal="center" vertical="center"/>
    </xf>
    <xf numFmtId="0" fontId="13" fillId="11" borderId="15" xfId="0" applyFont="1" applyFill="1" applyBorder="1" applyAlignment="1">
      <alignment vertical="center"/>
    </xf>
    <xf numFmtId="0" fontId="13" fillId="11" borderId="19" xfId="0" applyFont="1" applyFill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3" fillId="11" borderId="16" xfId="0" applyFont="1" applyFill="1" applyBorder="1" applyAlignment="1">
      <alignment horizontal="center" vertical="center"/>
    </xf>
    <xf numFmtId="0" fontId="13" fillId="11" borderId="5" xfId="0" applyFont="1" applyFill="1" applyBorder="1" applyAlignment="1">
      <alignment vertical="center"/>
    </xf>
    <xf numFmtId="0" fontId="13" fillId="11" borderId="16" xfId="0" applyFont="1" applyFill="1" applyBorder="1" applyAlignment="1">
      <alignment vertical="center"/>
    </xf>
    <xf numFmtId="0" fontId="15" fillId="0" borderId="9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8" xfId="0" applyFont="1" applyBorder="1" applyAlignment="1">
      <alignment vertical="center"/>
    </xf>
    <xf numFmtId="0" fontId="13" fillId="0" borderId="9" xfId="0" applyFont="1" applyBorder="1" applyAlignment="1">
      <alignment vertical="center"/>
    </xf>
    <xf numFmtId="0" fontId="13" fillId="0" borderId="13" xfId="0" applyFont="1" applyBorder="1"/>
    <xf numFmtId="0" fontId="13" fillId="0" borderId="13" xfId="0" applyFont="1" applyBorder="1" applyProtection="1">
      <protection locked="0"/>
    </xf>
    <xf numFmtId="167" fontId="13" fillId="0" borderId="13" xfId="3" applyNumberFormat="1" applyFont="1" applyBorder="1" applyProtection="1"/>
    <xf numFmtId="0" fontId="15" fillId="14" borderId="2" xfId="0" applyFont="1" applyFill="1" applyBorder="1"/>
    <xf numFmtId="0" fontId="15" fillId="14" borderId="4" xfId="0" applyFont="1" applyFill="1" applyBorder="1"/>
    <xf numFmtId="167" fontId="15" fillId="14" borderId="4" xfId="3" applyNumberFormat="1" applyFont="1" applyFill="1" applyBorder="1" applyProtection="1"/>
    <xf numFmtId="0" fontId="15" fillId="14" borderId="14" xfId="0" applyFont="1" applyFill="1" applyBorder="1" applyAlignment="1">
      <alignment horizontal="center"/>
    </xf>
    <xf numFmtId="9" fontId="13" fillId="0" borderId="0" xfId="1" applyFont="1" applyAlignment="1" applyProtection="1">
      <alignment horizontal="center" vertical="center"/>
    </xf>
    <xf numFmtId="0" fontId="13" fillId="0" borderId="0" xfId="0" applyFont="1" applyAlignment="1">
      <alignment vertical="center"/>
    </xf>
    <xf numFmtId="167" fontId="15" fillId="0" borderId="0" xfId="3" applyNumberFormat="1" applyFont="1" applyBorder="1" applyProtection="1"/>
    <xf numFmtId="9" fontId="13" fillId="0" borderId="0" xfId="1" applyFont="1" applyFill="1" applyAlignment="1" applyProtection="1">
      <alignment horizontal="center" vertical="center"/>
    </xf>
    <xf numFmtId="167" fontId="13" fillId="0" borderId="0" xfId="3" applyNumberFormat="1" applyFont="1" applyProtection="1"/>
    <xf numFmtId="0" fontId="13" fillId="0" borderId="16" xfId="0" applyFont="1" applyBorder="1"/>
    <xf numFmtId="43" fontId="13" fillId="0" borderId="13" xfId="3" applyFont="1" applyBorder="1" applyAlignment="1" applyProtection="1">
      <alignment horizontal="center" vertical="center"/>
    </xf>
    <xf numFmtId="0" fontId="13" fillId="0" borderId="0" xfId="0" applyFont="1" applyAlignment="1">
      <alignment horizontal="left"/>
    </xf>
    <xf numFmtId="0" fontId="13" fillId="11" borderId="15" xfId="0" applyFont="1" applyFill="1" applyBorder="1"/>
    <xf numFmtId="0" fontId="15" fillId="11" borderId="19" xfId="0" applyFont="1" applyFill="1" applyBorder="1"/>
    <xf numFmtId="9" fontId="15" fillId="0" borderId="16" xfId="1" applyFont="1" applyBorder="1" applyAlignment="1" applyProtection="1">
      <alignment horizontal="center"/>
    </xf>
    <xf numFmtId="0" fontId="13" fillId="0" borderId="5" xfId="0" applyFont="1" applyBorder="1" applyAlignment="1">
      <alignment horizontal="center" vertical="center"/>
    </xf>
    <xf numFmtId="9" fontId="15" fillId="0" borderId="9" xfId="1" applyFont="1" applyBorder="1" applyAlignment="1" applyProtection="1">
      <alignment horizontal="center"/>
    </xf>
    <xf numFmtId="9" fontId="13" fillId="0" borderId="13" xfId="1" applyFont="1" applyBorder="1" applyAlignment="1" applyProtection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20" fillId="13" borderId="19" xfId="0" applyFont="1" applyFill="1" applyBorder="1"/>
    <xf numFmtId="0" fontId="20" fillId="13" borderId="5" xfId="0" applyFont="1" applyFill="1" applyBorder="1"/>
    <xf numFmtId="0" fontId="18" fillId="13" borderId="18" xfId="0" applyFont="1" applyFill="1" applyBorder="1" applyAlignment="1">
      <alignment horizontal="center" vertical="center"/>
    </xf>
    <xf numFmtId="0" fontId="18" fillId="13" borderId="13" xfId="0" applyFont="1" applyFill="1" applyBorder="1" applyAlignment="1">
      <alignment horizontal="center" vertical="center"/>
    </xf>
    <xf numFmtId="0" fontId="18" fillId="13" borderId="14" xfId="0" applyFont="1" applyFill="1" applyBorder="1" applyAlignment="1">
      <alignment horizontal="center" vertical="center"/>
    </xf>
    <xf numFmtId="0" fontId="15" fillId="0" borderId="5" xfId="0" applyFont="1" applyBorder="1" applyAlignment="1">
      <alignment horizontal="right"/>
    </xf>
    <xf numFmtId="0" fontId="13" fillId="0" borderId="5" xfId="0" applyFont="1" applyBorder="1"/>
    <xf numFmtId="0" fontId="13" fillId="0" borderId="12" xfId="0" applyFont="1" applyBorder="1"/>
    <xf numFmtId="0" fontId="15" fillId="0" borderId="18" xfId="0" applyFont="1" applyBorder="1" applyAlignment="1">
      <alignment horizontal="right"/>
    </xf>
    <xf numFmtId="0" fontId="13" fillId="0" borderId="18" xfId="0" applyFont="1" applyBorder="1"/>
    <xf numFmtId="0" fontId="13" fillId="0" borderId="14" xfId="0" applyFont="1" applyBorder="1"/>
    <xf numFmtId="0" fontId="13" fillId="0" borderId="23" xfId="0" applyFont="1" applyBorder="1"/>
    <xf numFmtId="0" fontId="13" fillId="0" borderId="24" xfId="0" applyFont="1" applyBorder="1" applyAlignment="1" applyProtection="1">
      <alignment horizontal="center"/>
      <protection locked="0"/>
    </xf>
    <xf numFmtId="0" fontId="13" fillId="0" borderId="25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0" fillId="3" borderId="0" xfId="0" applyFill="1"/>
    <xf numFmtId="0" fontId="0" fillId="3" borderId="6" xfId="0" applyFill="1" applyBorder="1"/>
    <xf numFmtId="0" fontId="0" fillId="3" borderId="17" xfId="0" applyFill="1" applyBorder="1"/>
    <xf numFmtId="0" fontId="7" fillId="3" borderId="0" xfId="0" applyFont="1" applyFill="1"/>
    <xf numFmtId="9" fontId="0" fillId="3" borderId="0" xfId="1" applyFont="1" applyFill="1" applyProtection="1"/>
    <xf numFmtId="0" fontId="0" fillId="3" borderId="0" xfId="0" applyFill="1" applyAlignment="1">
      <alignment horizontal="center" vertical="center"/>
    </xf>
    <xf numFmtId="0" fontId="6" fillId="3" borderId="0" xfId="0" applyFont="1" applyFill="1"/>
    <xf numFmtId="1" fontId="0" fillId="3" borderId="0" xfId="0" applyNumberFormat="1" applyFill="1"/>
    <xf numFmtId="0" fontId="0" fillId="0" borderId="27" xfId="0" applyBorder="1"/>
    <xf numFmtId="0" fontId="10" fillId="0" borderId="28" xfId="2" applyBorder="1"/>
    <xf numFmtId="0" fontId="0" fillId="0" borderId="28" xfId="0" applyBorder="1"/>
    <xf numFmtId="0" fontId="6" fillId="0" borderId="27" xfId="0" applyFont="1" applyBorder="1"/>
    <xf numFmtId="0" fontId="7" fillId="0" borderId="27" xfId="0" applyFont="1" applyBorder="1" applyAlignment="1">
      <alignment horizontal="right"/>
    </xf>
    <xf numFmtId="0" fontId="2" fillId="0" borderId="27" xfId="0" applyFont="1" applyBorder="1" applyAlignment="1">
      <alignment horizontal="right"/>
    </xf>
    <xf numFmtId="0" fontId="0" fillId="10" borderId="27" xfId="0" applyFill="1" applyBorder="1"/>
    <xf numFmtId="0" fontId="0" fillId="0" borderId="29" xfId="0" applyBorder="1"/>
    <xf numFmtId="9" fontId="0" fillId="0" borderId="29" xfId="1" applyFont="1" applyBorder="1" applyProtection="1"/>
    <xf numFmtId="0" fontId="0" fillId="3" borderId="10" xfId="0" applyFill="1" applyBorder="1"/>
    <xf numFmtId="0" fontId="0" fillId="3" borderId="11" xfId="0" applyFill="1" applyBorder="1"/>
    <xf numFmtId="0" fontId="0" fillId="3" borderId="5" xfId="0" applyFill="1" applyBorder="1"/>
    <xf numFmtId="0" fontId="0" fillId="3" borderId="12" xfId="0" applyFill="1" applyBorder="1"/>
    <xf numFmtId="0" fontId="2" fillId="3" borderId="19" xfId="0" applyFont="1" applyFill="1" applyBorder="1"/>
    <xf numFmtId="0" fontId="0" fillId="0" borderId="30" xfId="0" applyBorder="1"/>
    <xf numFmtId="164" fontId="3" fillId="3" borderId="0" xfId="0" applyNumberFormat="1" applyFont="1" applyFill="1" applyAlignment="1" applyProtection="1">
      <alignment horizontal="center" vertical="center" shrinkToFit="1"/>
      <protection locked="0"/>
    </xf>
    <xf numFmtId="0" fontId="21" fillId="3" borderId="0" xfId="0" applyFont="1" applyFill="1" applyAlignment="1">
      <alignment horizontal="center"/>
    </xf>
    <xf numFmtId="0" fontId="21" fillId="3" borderId="0" xfId="0" applyFont="1" applyFill="1"/>
    <xf numFmtId="164" fontId="4" fillId="4" borderId="9" xfId="0" applyNumberFormat="1" applyFont="1" applyFill="1" applyBorder="1" applyAlignment="1" applyProtection="1">
      <alignment horizontal="center" vertical="center" shrinkToFit="1"/>
      <protection locked="0"/>
    </xf>
    <xf numFmtId="164" fontId="0" fillId="3" borderId="1" xfId="0" applyNumberFormat="1" applyFill="1" applyBorder="1" applyAlignment="1">
      <alignment horizontal="center"/>
    </xf>
    <xf numFmtId="0" fontId="18" fillId="13" borderId="1" xfId="0" applyFont="1" applyFill="1" applyBorder="1" applyAlignment="1">
      <alignment vertical="center" wrapText="1"/>
    </xf>
    <xf numFmtId="0" fontId="22" fillId="3" borderId="0" xfId="0" applyFont="1" applyFill="1"/>
    <xf numFmtId="0" fontId="23" fillId="3" borderId="0" xfId="0" applyFont="1" applyFill="1"/>
    <xf numFmtId="0" fontId="16" fillId="0" borderId="0" xfId="0" applyFont="1"/>
    <xf numFmtId="0" fontId="18" fillId="13" borderId="2" xfId="0" applyFont="1" applyFill="1" applyBorder="1" applyAlignment="1">
      <alignment horizontal="center" vertical="center" wrapText="1"/>
    </xf>
    <xf numFmtId="0" fontId="18" fillId="13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8" fillId="3" borderId="0" xfId="0" applyFont="1" applyFill="1" applyAlignment="1">
      <alignment horizontal="center" vertical="center" wrapText="1"/>
    </xf>
    <xf numFmtId="0" fontId="18" fillId="1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3" borderId="4" xfId="0" applyFont="1" applyFill="1" applyBorder="1" applyAlignment="1">
      <alignment horizontal="center" vertical="center" shrinkToFit="1"/>
    </xf>
    <xf numFmtId="0" fontId="8" fillId="3" borderId="3" xfId="0" applyFont="1" applyFill="1" applyBorder="1" applyAlignment="1">
      <alignment horizontal="center" vertical="center" shrinkToFit="1"/>
    </xf>
    <xf numFmtId="0" fontId="0" fillId="3" borderId="5" xfId="0" applyFill="1" applyBorder="1" applyAlignment="1">
      <alignment horizontal="left" wrapText="1"/>
    </xf>
    <xf numFmtId="0" fontId="0" fillId="3" borderId="0" xfId="0" applyFill="1" applyAlignment="1">
      <alignment horizontal="left" wrapText="1"/>
    </xf>
    <xf numFmtId="0" fontId="0" fillId="3" borderId="12" xfId="0" applyFill="1" applyBorder="1" applyAlignment="1">
      <alignment horizontal="left" wrapText="1"/>
    </xf>
    <xf numFmtId="0" fontId="0" fillId="3" borderId="18" xfId="0" applyFill="1" applyBorder="1" applyAlignment="1">
      <alignment horizontal="left" wrapText="1"/>
    </xf>
    <xf numFmtId="0" fontId="0" fillId="3" borderId="13" xfId="0" applyFill="1" applyBorder="1" applyAlignment="1">
      <alignment horizontal="left" wrapText="1"/>
    </xf>
    <xf numFmtId="0" fontId="0" fillId="3" borderId="14" xfId="0" applyFill="1" applyBorder="1" applyAlignment="1">
      <alignment horizontal="left" wrapText="1"/>
    </xf>
    <xf numFmtId="0" fontId="0" fillId="0" borderId="4" xfId="0" applyBorder="1" applyAlignment="1">
      <alignment horizontal="center"/>
    </xf>
    <xf numFmtId="0" fontId="18" fillId="13" borderId="15" xfId="0" applyFont="1" applyFill="1" applyBorder="1" applyAlignment="1">
      <alignment horizontal="center" vertical="center" wrapText="1"/>
    </xf>
    <xf numFmtId="0" fontId="18" fillId="13" borderId="16" xfId="0" applyFont="1" applyFill="1" applyBorder="1" applyAlignment="1">
      <alignment horizontal="center" vertical="center" wrapText="1"/>
    </xf>
    <xf numFmtId="0" fontId="15" fillId="11" borderId="19" xfId="0" applyFont="1" applyFill="1" applyBorder="1" applyAlignment="1">
      <alignment horizontal="center"/>
    </xf>
    <xf numFmtId="0" fontId="15" fillId="11" borderId="10" xfId="0" applyFont="1" applyFill="1" applyBorder="1" applyAlignment="1">
      <alignment horizontal="center"/>
    </xf>
    <xf numFmtId="0" fontId="19" fillId="0" borderId="20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8" fillId="13" borderId="19" xfId="0" applyFont="1" applyFill="1" applyBorder="1" applyAlignment="1">
      <alignment horizontal="center" vertical="center"/>
    </xf>
    <xf numFmtId="0" fontId="18" fillId="13" borderId="10" xfId="0" applyFont="1" applyFill="1" applyBorder="1" applyAlignment="1">
      <alignment horizontal="center" vertical="center"/>
    </xf>
    <xf numFmtId="0" fontId="18" fillId="13" borderId="11" xfId="0" applyFont="1" applyFill="1" applyBorder="1" applyAlignment="1">
      <alignment horizontal="center" vertical="center"/>
    </xf>
    <xf numFmtId="0" fontId="13" fillId="11" borderId="0" xfId="0" applyFont="1" applyFill="1" applyAlignment="1">
      <alignment horizontal="center" vertical="center"/>
    </xf>
    <xf numFmtId="0" fontId="18" fillId="13" borderId="2" xfId="0" applyFont="1" applyFill="1" applyBorder="1" applyAlignment="1">
      <alignment horizontal="center" vertical="center"/>
    </xf>
    <xf numFmtId="0" fontId="18" fillId="13" borderId="4" xfId="0" applyFont="1" applyFill="1" applyBorder="1" applyAlignment="1">
      <alignment horizontal="center" vertical="center"/>
    </xf>
    <xf numFmtId="0" fontId="13" fillId="11" borderId="10" xfId="0" applyFont="1" applyFill="1" applyBorder="1" applyAlignment="1">
      <alignment horizontal="center" vertical="center"/>
    </xf>
    <xf numFmtId="0" fontId="18" fillId="13" borderId="3" xfId="0" applyFont="1" applyFill="1" applyBorder="1" applyAlignment="1">
      <alignment horizontal="center" vertical="center"/>
    </xf>
    <xf numFmtId="0" fontId="16" fillId="0" borderId="0" xfId="0" applyFont="1" applyAlignment="1">
      <alignment horizontal="left" vertical="top" wrapTex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164" fontId="4" fillId="4" borderId="2" xfId="0" applyNumberFormat="1" applyFont="1" applyFill="1" applyBorder="1" applyAlignment="1" applyProtection="1">
      <alignment horizontal="center" vertical="center" shrinkToFit="1"/>
      <protection locked="0"/>
    </xf>
    <xf numFmtId="164" fontId="4" fillId="4" borderId="3" xfId="0" applyNumberFormat="1" applyFont="1" applyFill="1" applyBorder="1" applyAlignment="1" applyProtection="1">
      <alignment horizontal="center" vertical="center" shrinkToFit="1"/>
      <protection locked="0"/>
    </xf>
    <xf numFmtId="0" fontId="3" fillId="2" borderId="18" xfId="0" applyFont="1" applyFill="1" applyBorder="1" applyAlignment="1">
      <alignment horizontal="center" vertical="center" shrinkToFit="1"/>
    </xf>
    <xf numFmtId="0" fontId="3" fillId="2" borderId="13" xfId="0" applyFont="1" applyFill="1" applyBorder="1" applyAlignment="1">
      <alignment horizontal="center" vertical="center" shrinkToFit="1"/>
    </xf>
    <xf numFmtId="164" fontId="4" fillId="4" borderId="4" xfId="0" applyNumberFormat="1" applyFont="1" applyFill="1" applyBorder="1" applyAlignment="1" applyProtection="1">
      <alignment horizontal="center" vertical="center" shrinkToFit="1"/>
      <protection locked="0"/>
    </xf>
    <xf numFmtId="0" fontId="3" fillId="2" borderId="5" xfId="0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" vertical="center" shrinkToFit="1"/>
    </xf>
    <xf numFmtId="0" fontId="11" fillId="9" borderId="5" xfId="0" applyFont="1" applyFill="1" applyBorder="1" applyAlignment="1">
      <alignment horizontal="center" vertical="center" shrinkToFit="1"/>
    </xf>
    <xf numFmtId="0" fontId="11" fillId="9" borderId="0" xfId="0" applyFont="1" applyFill="1" applyAlignment="1">
      <alignment horizontal="center" vertical="center" shrinkToFit="1"/>
    </xf>
    <xf numFmtId="164" fontId="4" fillId="12" borderId="2" xfId="0" applyNumberFormat="1" applyFont="1" applyFill="1" applyBorder="1" applyAlignment="1" applyProtection="1">
      <alignment horizontal="center" vertical="center" shrinkToFit="1"/>
      <protection locked="0"/>
    </xf>
    <xf numFmtId="164" fontId="4" fillId="12" borderId="4" xfId="0" applyNumberFormat="1" applyFont="1" applyFill="1" applyBorder="1" applyAlignment="1" applyProtection="1">
      <alignment horizontal="center" vertical="center" shrinkToFit="1"/>
      <protection locked="0"/>
    </xf>
    <xf numFmtId="164" fontId="4" fillId="12" borderId="3" xfId="0" applyNumberFormat="1" applyFont="1" applyFill="1" applyBorder="1" applyAlignment="1" applyProtection="1">
      <alignment horizontal="center" vertical="center" shrinkToFit="1"/>
      <protection locked="0"/>
    </xf>
    <xf numFmtId="164" fontId="0" fillId="0" borderId="15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0" fontId="0" fillId="0" borderId="0" xfId="0" applyAlignment="1">
      <alignment horizontal="center"/>
    </xf>
    <xf numFmtId="164" fontId="4" fillId="6" borderId="1" xfId="0" applyNumberFormat="1" applyFont="1" applyFill="1" applyBorder="1" applyAlignment="1" applyProtection="1">
      <alignment horizontal="center" vertical="center" shrinkToFit="1"/>
    </xf>
    <xf numFmtId="2" fontId="4" fillId="6" borderId="1" xfId="0" applyNumberFormat="1" applyFont="1" applyFill="1" applyBorder="1" applyAlignment="1" applyProtection="1">
      <alignment horizontal="center" vertical="center" shrinkToFit="1"/>
    </xf>
    <xf numFmtId="10" fontId="4" fillId="6" borderId="1" xfId="0" applyNumberFormat="1" applyFont="1" applyFill="1" applyBorder="1" applyAlignment="1" applyProtection="1">
      <alignment horizontal="center" vertical="center" shrinkToFit="1"/>
    </xf>
    <xf numFmtId="0" fontId="4" fillId="6" borderId="1" xfId="0" applyFont="1" applyFill="1" applyBorder="1" applyAlignment="1" applyProtection="1">
      <alignment horizontal="center" vertical="center" shrinkToFit="1"/>
    </xf>
    <xf numFmtId="1" fontId="4" fillId="6" borderId="1" xfId="0" applyNumberFormat="1" applyFont="1" applyFill="1" applyBorder="1" applyAlignment="1" applyProtection="1">
      <alignment horizontal="center" vertical="center" shrinkToFit="1"/>
    </xf>
    <xf numFmtId="1" fontId="4" fillId="6" borderId="9" xfId="0" applyNumberFormat="1" applyFont="1" applyFill="1" applyBorder="1" applyAlignment="1" applyProtection="1">
      <alignment horizontal="center" vertical="center" shrinkToFit="1"/>
    </xf>
  </cellXfs>
  <cellStyles count="4">
    <cellStyle name="Comma" xfId="3" builtinId="3"/>
    <cellStyle name="Hyperlink" xfId="2" builtinId="8"/>
    <cellStyle name="Normal" xfId="0" builtinId="0"/>
    <cellStyle name="Percent" xfId="1" builtinId="5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 tint="0.79998168889431442"/>
      </font>
    </dxf>
    <dxf>
      <font>
        <color theme="1" tint="0.79998168889431442"/>
      </font>
    </dxf>
    <dxf>
      <font>
        <color theme="1" tint="0.79998168889431442"/>
      </font>
    </dxf>
    <dxf>
      <font>
        <color theme="1" tint="0.79998168889431442"/>
      </font>
    </dxf>
    <dxf>
      <font>
        <color theme="1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820616</xdr:colOff>
      <xdr:row>56</xdr:row>
      <xdr:rowOff>187678</xdr:rowOff>
    </xdr:from>
    <xdr:to>
      <xdr:col>12</xdr:col>
      <xdr:colOff>827534</xdr:colOff>
      <xdr:row>74</xdr:row>
      <xdr:rowOff>89254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DE5C5D4-7540-A747-9CD0-53BD1C594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42770" y="6996832"/>
          <a:ext cx="2527380" cy="35943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44823</xdr:colOff>
      <xdr:row>37</xdr:row>
      <xdr:rowOff>1</xdr:rowOff>
    </xdr:from>
    <xdr:to>
      <xdr:col>11</xdr:col>
      <xdr:colOff>66646</xdr:colOff>
      <xdr:row>51</xdr:row>
      <xdr:rowOff>82924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999528-501C-4C45-9486-B07F293A2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2647" y="5894295"/>
          <a:ext cx="1642940" cy="29068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239058</xdr:colOff>
      <xdr:row>36</xdr:row>
      <xdr:rowOff>179294</xdr:rowOff>
    </xdr:from>
    <xdr:to>
      <xdr:col>12</xdr:col>
      <xdr:colOff>478117</xdr:colOff>
      <xdr:row>44</xdr:row>
      <xdr:rowOff>25907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F5257FE-ED9C-6B43-AAA6-7DE9169AB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27999" y="5856941"/>
          <a:ext cx="1075765" cy="14752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664192</xdr:colOff>
      <xdr:row>36</xdr:row>
      <xdr:rowOff>201706</xdr:rowOff>
    </xdr:from>
    <xdr:to>
      <xdr:col>13</xdr:col>
      <xdr:colOff>612587</xdr:colOff>
      <xdr:row>43</xdr:row>
      <xdr:rowOff>74705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99D036A-8158-E94E-A578-E7E1774D5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89839" y="5879353"/>
          <a:ext cx="785101" cy="12998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nergyresearch.ucf.edu/solar-certification/solar-reference-map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energyresearch.ucf.edu/solar-certification/solar-reference-ma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C61A4-1876-B241-A8C4-B0BBAF2E659B}">
  <dimension ref="A1:AN98"/>
  <sheetViews>
    <sheetView tabSelected="1" zoomScale="130" zoomScaleNormal="130" workbookViewId="0">
      <selection activeCell="A12" sqref="A12:C12"/>
    </sheetView>
  </sheetViews>
  <sheetFormatPr baseColWidth="10" defaultColWidth="11" defaultRowHeight="16" outlineLevelRow="1" x14ac:dyDescent="0.2"/>
  <cols>
    <col min="1" max="1" width="24.1640625" customWidth="1"/>
    <col min="2" max="2" width="10.5" bestFit="1" customWidth="1"/>
    <col min="3" max="3" width="12.6640625" customWidth="1"/>
    <col min="4" max="4" width="20.33203125" customWidth="1"/>
    <col min="6" max="6" width="15.1640625" customWidth="1"/>
    <col min="7" max="7" width="20.83203125" bestFit="1" customWidth="1"/>
    <col min="8" max="8" width="14.83203125" customWidth="1"/>
    <col min="9" max="9" width="2.1640625" customWidth="1"/>
  </cols>
  <sheetData>
    <row r="1" spans="1:40" x14ac:dyDescent="0.2">
      <c r="A1" s="175" t="s">
        <v>0</v>
      </c>
      <c r="B1" s="176"/>
      <c r="C1" s="176"/>
      <c r="D1" s="180"/>
      <c r="E1" s="165"/>
      <c r="F1" s="69" t="s">
        <v>1</v>
      </c>
      <c r="G1" s="143"/>
      <c r="H1" s="143"/>
      <c r="I1" s="143"/>
      <c r="J1" s="143"/>
      <c r="K1" s="143" t="s">
        <v>2</v>
      </c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  <c r="AH1" s="143"/>
      <c r="AI1" s="143"/>
      <c r="AJ1" s="143"/>
      <c r="AK1" s="143"/>
      <c r="AL1" s="143"/>
      <c r="AM1" s="143"/>
      <c r="AN1" s="143"/>
    </row>
    <row r="2" spans="1:40" x14ac:dyDescent="0.2">
      <c r="A2" s="1" t="s">
        <v>3</v>
      </c>
      <c r="B2" s="15" t="s">
        <v>4</v>
      </c>
      <c r="C2" s="15" t="s">
        <v>5</v>
      </c>
      <c r="D2" s="229">
        <v>50.45</v>
      </c>
      <c r="E2" s="153" t="s">
        <v>6</v>
      </c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  <c r="X2" s="143"/>
      <c r="Y2" s="143"/>
      <c r="Z2" s="143"/>
      <c r="AA2" s="143"/>
      <c r="AB2" s="143"/>
      <c r="AC2" s="143"/>
      <c r="AD2" s="143"/>
      <c r="AE2" s="143"/>
      <c r="AF2" s="143"/>
      <c r="AG2" s="143"/>
      <c r="AH2" s="143"/>
      <c r="AI2" s="143"/>
      <c r="AJ2" s="143"/>
      <c r="AK2" s="143"/>
      <c r="AL2" s="143"/>
      <c r="AM2" s="143"/>
      <c r="AN2" s="143"/>
    </row>
    <row r="3" spans="1:40" x14ac:dyDescent="0.2">
      <c r="A3" s="1" t="s">
        <v>7</v>
      </c>
      <c r="B3" s="15" t="s">
        <v>8</v>
      </c>
      <c r="C3" s="15" t="s">
        <v>5</v>
      </c>
      <c r="D3" s="229">
        <v>49.4</v>
      </c>
      <c r="E3" s="153" t="s">
        <v>6</v>
      </c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  <c r="AF3" s="143"/>
      <c r="AG3" s="143"/>
      <c r="AH3" s="143"/>
      <c r="AI3" s="143"/>
      <c r="AJ3" s="143"/>
      <c r="AK3" s="143"/>
      <c r="AL3" s="143"/>
      <c r="AM3" s="143"/>
      <c r="AN3" s="143"/>
    </row>
    <row r="4" spans="1:40" x14ac:dyDescent="0.2">
      <c r="A4" s="1" t="s">
        <v>9</v>
      </c>
      <c r="B4" s="15" t="s">
        <v>10</v>
      </c>
      <c r="C4" s="15" t="s">
        <v>11</v>
      </c>
      <c r="D4" s="230">
        <v>8.84</v>
      </c>
      <c r="E4" s="153" t="s">
        <v>12</v>
      </c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143"/>
      <c r="AD4" s="143"/>
      <c r="AE4" s="143"/>
      <c r="AF4" s="143"/>
      <c r="AG4" s="143"/>
      <c r="AH4" s="143"/>
      <c r="AI4" s="143"/>
      <c r="AJ4" s="143"/>
      <c r="AK4" s="143"/>
      <c r="AL4" s="143"/>
      <c r="AM4" s="143"/>
      <c r="AN4" s="143"/>
    </row>
    <row r="5" spans="1:40" x14ac:dyDescent="0.2">
      <c r="A5" s="1" t="s">
        <v>13</v>
      </c>
      <c r="B5" s="15" t="s">
        <v>14</v>
      </c>
      <c r="C5" s="15" t="s">
        <v>11</v>
      </c>
      <c r="D5" s="230">
        <v>8.3000000000000007</v>
      </c>
      <c r="E5" s="153" t="s">
        <v>15</v>
      </c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  <c r="AA5" s="143"/>
      <c r="AB5" s="143"/>
      <c r="AC5" s="143"/>
      <c r="AD5" s="143"/>
      <c r="AE5" s="143"/>
      <c r="AF5" s="143"/>
      <c r="AG5" s="143"/>
      <c r="AH5" s="143"/>
      <c r="AI5" s="143"/>
      <c r="AJ5" s="143"/>
      <c r="AK5" s="143"/>
      <c r="AL5" s="143"/>
      <c r="AM5" s="143"/>
      <c r="AN5" s="143"/>
    </row>
    <row r="6" spans="1:40" x14ac:dyDescent="0.2">
      <c r="A6" s="1" t="s">
        <v>16</v>
      </c>
      <c r="B6" s="15" t="s">
        <v>17</v>
      </c>
      <c r="C6" s="15" t="s">
        <v>18</v>
      </c>
      <c r="D6" s="231">
        <v>-2.3999999999999998E-3</v>
      </c>
      <c r="E6" s="153" t="s">
        <v>19</v>
      </c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  <c r="Z6" s="143"/>
      <c r="AA6" s="143"/>
      <c r="AB6" s="143"/>
      <c r="AC6" s="143"/>
      <c r="AD6" s="143"/>
      <c r="AE6" s="143"/>
      <c r="AF6" s="143"/>
      <c r="AG6" s="143"/>
      <c r="AH6" s="143"/>
      <c r="AI6" s="143"/>
      <c r="AJ6" s="143"/>
      <c r="AK6" s="143"/>
      <c r="AL6" s="143"/>
      <c r="AM6" s="143"/>
      <c r="AN6" s="143"/>
    </row>
    <row r="7" spans="1:40" x14ac:dyDescent="0.2">
      <c r="A7" s="1" t="s">
        <v>20</v>
      </c>
      <c r="B7" s="15" t="s">
        <v>21</v>
      </c>
      <c r="C7" s="15" t="s">
        <v>18</v>
      </c>
      <c r="D7" s="231">
        <v>-2.3999999999999998E-3</v>
      </c>
      <c r="E7" s="153" t="s">
        <v>19</v>
      </c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</row>
    <row r="8" spans="1:40" x14ac:dyDescent="0.2">
      <c r="A8" s="1" t="s">
        <v>22</v>
      </c>
      <c r="B8" s="15" t="s">
        <v>23</v>
      </c>
      <c r="C8" s="15" t="s">
        <v>24</v>
      </c>
      <c r="D8" s="232">
        <v>410</v>
      </c>
      <c r="E8" s="153" t="s">
        <v>25</v>
      </c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</row>
    <row r="9" spans="1:40" x14ac:dyDescent="0.2">
      <c r="A9" s="143"/>
      <c r="B9" s="143"/>
      <c r="C9" s="143"/>
      <c r="D9" s="143"/>
      <c r="E9" s="151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</row>
    <row r="10" spans="1:40" x14ac:dyDescent="0.2">
      <c r="A10" s="175" t="s">
        <v>26</v>
      </c>
      <c r="B10" s="176"/>
      <c r="C10" s="176"/>
      <c r="D10" s="180"/>
      <c r="E10" s="152" t="s">
        <v>27</v>
      </c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</row>
    <row r="11" spans="1:40" x14ac:dyDescent="0.2">
      <c r="A11" s="181" t="s">
        <v>28</v>
      </c>
      <c r="B11" s="182"/>
      <c r="C11" s="183"/>
      <c r="D11" s="233" t="s">
        <v>29</v>
      </c>
      <c r="E11" s="153" t="s">
        <v>30</v>
      </c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</row>
    <row r="12" spans="1:40" x14ac:dyDescent="0.2">
      <c r="A12" s="181" t="s">
        <v>31</v>
      </c>
      <c r="B12" s="182"/>
      <c r="C12" s="183"/>
      <c r="D12" s="233">
        <v>0</v>
      </c>
      <c r="E12" s="15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</row>
    <row r="13" spans="1:40" x14ac:dyDescent="0.2">
      <c r="A13" s="181" t="s">
        <v>32</v>
      </c>
      <c r="B13" s="182"/>
      <c r="C13" s="183"/>
      <c r="D13" s="233">
        <v>40</v>
      </c>
      <c r="E13" s="15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</row>
    <row r="14" spans="1:40" x14ac:dyDescent="0.2">
      <c r="A14" s="143"/>
      <c r="B14" s="143"/>
      <c r="C14" s="143"/>
      <c r="D14" s="143"/>
      <c r="E14" s="151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</row>
    <row r="15" spans="1:40" x14ac:dyDescent="0.2">
      <c r="A15" s="175" t="s">
        <v>33</v>
      </c>
      <c r="B15" s="176"/>
      <c r="C15" s="176"/>
      <c r="D15" s="180"/>
      <c r="E15" s="15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43"/>
    </row>
    <row r="16" spans="1:40" hidden="1" outlineLevel="1" x14ac:dyDescent="0.2">
      <c r="A16" s="181" t="s">
        <v>34</v>
      </c>
      <c r="B16" s="182"/>
      <c r="C16" s="183"/>
      <c r="D16" s="73">
        <v>240</v>
      </c>
      <c r="E16" s="15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43"/>
    </row>
    <row r="17" spans="1:40" collapsed="1" x14ac:dyDescent="0.2">
      <c r="A17" s="181" t="s">
        <v>35</v>
      </c>
      <c r="B17" s="182"/>
      <c r="C17" s="183"/>
      <c r="D17" s="234" t="s">
        <v>36</v>
      </c>
      <c r="E17" s="153" t="s">
        <v>37</v>
      </c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</row>
    <row r="18" spans="1:40" ht="17" thickBot="1" x14ac:dyDescent="0.25">
      <c r="A18" s="143"/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</row>
    <row r="19" spans="1:40" x14ac:dyDescent="0.2">
      <c r="A19" s="144"/>
      <c r="B19" s="144"/>
      <c r="C19" s="144"/>
      <c r="D19" s="144"/>
      <c r="E19" s="144"/>
      <c r="F19" s="144"/>
      <c r="G19" s="144"/>
      <c r="H19" s="144"/>
      <c r="I19" s="144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143"/>
      <c r="AE19" s="143"/>
      <c r="AF19" s="143"/>
      <c r="AG19" s="143"/>
      <c r="AH19" s="143"/>
      <c r="AI19" s="143"/>
      <c r="AJ19" s="143"/>
      <c r="AK19" s="143"/>
      <c r="AL19" s="143"/>
      <c r="AM19" s="143"/>
      <c r="AN19" s="143"/>
    </row>
    <row r="20" spans="1:40" hidden="1" outlineLevel="1" x14ac:dyDescent="0.2">
      <c r="E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</row>
    <row r="21" spans="1:40" hidden="1" outlineLevel="1" x14ac:dyDescent="0.2">
      <c r="A21" s="8" t="s">
        <v>38</v>
      </c>
      <c r="D21" s="8" t="s">
        <v>39</v>
      </c>
      <c r="E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</row>
    <row r="22" spans="1:40" hidden="1" outlineLevel="1" x14ac:dyDescent="0.2">
      <c r="A22" t="s">
        <v>40</v>
      </c>
      <c r="B22" s="4">
        <v>25</v>
      </c>
      <c r="C22">
        <f>IF(D17="Rooftop",25,30)</f>
        <v>25</v>
      </c>
      <c r="D22" t="s">
        <v>41</v>
      </c>
      <c r="E22" s="143">
        <v>80</v>
      </c>
      <c r="F22" t="s">
        <v>42</v>
      </c>
      <c r="H22">
        <f>IF($D$11="C",D12,(D12-32)*(5/9))</f>
        <v>0</v>
      </c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D22" s="143"/>
      <c r="AE22" s="143"/>
      <c r="AF22" s="143"/>
      <c r="AG22" s="143"/>
      <c r="AH22" s="143"/>
      <c r="AI22" s="143"/>
      <c r="AJ22" s="143"/>
      <c r="AK22" s="143"/>
      <c r="AL22" s="143"/>
      <c r="AM22" s="143"/>
      <c r="AN22" s="143"/>
    </row>
    <row r="23" spans="1:40" hidden="1" outlineLevel="1" x14ac:dyDescent="0.2">
      <c r="A23" t="s">
        <v>43</v>
      </c>
      <c r="B23" s="4">
        <f>B22-H22</f>
        <v>25</v>
      </c>
      <c r="C23" t="s">
        <v>44</v>
      </c>
      <c r="D23" t="s">
        <v>45</v>
      </c>
      <c r="E23" s="143">
        <v>550</v>
      </c>
      <c r="F23" t="s">
        <v>42</v>
      </c>
      <c r="H23">
        <f>IF($D$11="C",D13,(D13-32)*(5/9))</f>
        <v>40</v>
      </c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</row>
    <row r="24" spans="1:40" hidden="1" outlineLevel="1" x14ac:dyDescent="0.2">
      <c r="A24" t="s">
        <v>46</v>
      </c>
      <c r="B24" s="5">
        <f>B23*D6*-1</f>
        <v>0.06</v>
      </c>
      <c r="D24" t="s">
        <v>47</v>
      </c>
      <c r="E24" s="143">
        <v>13.5</v>
      </c>
      <c r="F24" t="s">
        <v>48</v>
      </c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3"/>
      <c r="AA24" s="143"/>
      <c r="AB24" s="143"/>
      <c r="AC24" s="143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</row>
    <row r="25" spans="1:40" hidden="1" outlineLevel="1" x14ac:dyDescent="0.2">
      <c r="A25" t="s">
        <v>49</v>
      </c>
      <c r="B25" s="6">
        <f>D2*B24</f>
        <v>3.0270000000000001</v>
      </c>
      <c r="C25" t="s">
        <v>50</v>
      </c>
      <c r="D25">
        <v>3.8</v>
      </c>
      <c r="E25" s="143">
        <v>3800</v>
      </c>
      <c r="F25" t="s">
        <v>51</v>
      </c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3"/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3"/>
      <c r="AL25" s="143"/>
      <c r="AM25" s="143"/>
      <c r="AN25" s="143"/>
    </row>
    <row r="26" spans="1:40" hidden="1" outlineLevel="1" x14ac:dyDescent="0.2">
      <c r="A26" t="s">
        <v>52</v>
      </c>
      <c r="B26" s="5">
        <f>B25+D2</f>
        <v>53.477000000000004</v>
      </c>
      <c r="C26" t="s">
        <v>50</v>
      </c>
      <c r="D26">
        <v>7.6</v>
      </c>
      <c r="E26" s="143">
        <v>7600</v>
      </c>
      <c r="F26" t="s">
        <v>51</v>
      </c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143"/>
      <c r="AF26" s="143"/>
      <c r="AG26" s="143"/>
      <c r="AH26" s="143"/>
      <c r="AI26" s="143"/>
      <c r="AJ26" s="143"/>
      <c r="AK26" s="143"/>
      <c r="AL26" s="143"/>
      <c r="AM26" s="143"/>
      <c r="AN26" s="143"/>
    </row>
    <row r="27" spans="1:40" hidden="1" outlineLevel="1" x14ac:dyDescent="0.2">
      <c r="D27">
        <v>11.4</v>
      </c>
      <c r="E27" s="143">
        <v>11400</v>
      </c>
      <c r="F27" t="s">
        <v>51</v>
      </c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3"/>
      <c r="AD27" s="143"/>
      <c r="AE27" s="143"/>
      <c r="AF27" s="143"/>
      <c r="AG27" s="143"/>
      <c r="AH27" s="143"/>
      <c r="AI27" s="143"/>
      <c r="AJ27" s="143"/>
      <c r="AK27" s="143"/>
      <c r="AL27" s="143"/>
      <c r="AM27" s="143"/>
      <c r="AN27" s="143"/>
    </row>
    <row r="28" spans="1:40" hidden="1" outlineLevel="1" x14ac:dyDescent="0.2">
      <c r="F28" t="s">
        <v>53</v>
      </c>
      <c r="G28" t="s">
        <v>54</v>
      </c>
      <c r="H28" s="143">
        <f>ROUNDUP(150/B29,0)</f>
        <v>4</v>
      </c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3"/>
      <c r="AA28" s="143"/>
      <c r="AB28" s="143"/>
      <c r="AC28" s="143"/>
      <c r="AD28" s="143"/>
      <c r="AE28" s="143"/>
      <c r="AF28" s="143"/>
      <c r="AG28" s="143"/>
      <c r="AH28" s="143"/>
      <c r="AI28" s="143"/>
      <c r="AJ28" s="143"/>
      <c r="AK28" s="143"/>
      <c r="AL28" s="143"/>
      <c r="AM28" s="143"/>
      <c r="AN28" s="143"/>
    </row>
    <row r="29" spans="1:40" hidden="1" outlineLevel="1" x14ac:dyDescent="0.2">
      <c r="A29" t="s">
        <v>55</v>
      </c>
      <c r="B29" s="6">
        <f>(D3-(D3*-1*D7*(H23+C22-B22)))</f>
        <v>44.657600000000002</v>
      </c>
      <c r="C29" t="s">
        <v>50</v>
      </c>
      <c r="D29" t="s">
        <v>56</v>
      </c>
      <c r="E29" s="143">
        <f>MIN(ROUNDDOWN(E23/B26,0),ROUNDDOWN(IF(D16=240,3800*D45/100*'Ref Solar'!I2,3290*D45/100*'Ref Solar'!I3)/2/D8,0))</f>
        <v>8</v>
      </c>
      <c r="F29">
        <f>IF(D16=240,'Ref Solar'!I2,'Ref Solar'!I3)</f>
        <v>0.97</v>
      </c>
      <c r="G29" t="s">
        <v>57</v>
      </c>
      <c r="H29">
        <f>ROUNDUP(200/B29,0)</f>
        <v>5</v>
      </c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</row>
    <row r="30" spans="1:40" hidden="1" outlineLevel="1" x14ac:dyDescent="0.2">
      <c r="D30" t="s">
        <v>58</v>
      </c>
      <c r="E30" s="143">
        <f>MIN(ROUNDDOWN(E23/B26,0),ROUNDDOWN(IF(D16=240,7600*D45/100*'Ref Solar'!K2,6580*D45/100*'Ref Solar'!K3)/3/D8,0))</f>
        <v>10</v>
      </c>
      <c r="F30">
        <f>IF(D16=240,'Ref Solar'!K2,'Ref Solar'!K3)</f>
        <v>0.97499999999999998</v>
      </c>
      <c r="G30" t="s">
        <v>59</v>
      </c>
      <c r="H30">
        <f>ROUNDUP(220/B29,0)</f>
        <v>5</v>
      </c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43"/>
      <c r="AB30" s="143"/>
      <c r="AC30" s="143"/>
      <c r="AD30" s="143"/>
      <c r="AE30" s="143"/>
      <c r="AF30" s="143"/>
      <c r="AG30" s="143"/>
      <c r="AH30" s="143"/>
      <c r="AI30" s="143"/>
      <c r="AJ30" s="143"/>
      <c r="AK30" s="143"/>
      <c r="AL30" s="143"/>
      <c r="AM30" s="143"/>
      <c r="AN30" s="143"/>
    </row>
    <row r="31" spans="1:40" hidden="1" outlineLevel="1" x14ac:dyDescent="0.2">
      <c r="A31" s="8" t="s">
        <v>60</v>
      </c>
      <c r="D31" t="s">
        <v>61</v>
      </c>
      <c r="E31" s="143">
        <f>MIN(ROUNDDOWN(E23/B26,0),ROUNDDOWN(IF(D16=240,11400*D45/100*'Ref Solar'!M2,9880*D45/100*'Ref Solar'!M3)/4/D8,0))</f>
        <v>10</v>
      </c>
      <c r="F31">
        <f>IF(D16=240,'Ref Solar'!M2,'Ref Solar'!M3)</f>
        <v>0.98</v>
      </c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</row>
    <row r="32" spans="1:40" hidden="1" outlineLevel="1" x14ac:dyDescent="0.2">
      <c r="A32" t="s">
        <v>62</v>
      </c>
      <c r="B32" s="6">
        <f>G49*D8</f>
        <v>8200</v>
      </c>
      <c r="E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</row>
    <row r="33" spans="1:40" hidden="1" outlineLevel="1" x14ac:dyDescent="0.2">
      <c r="A33" t="s">
        <v>63</v>
      </c>
      <c r="B33" s="6" cm="1">
        <f t="array" ref="B33">IF(D16=208,INDEX('Ref Solar'!C18:C29,MATCH(TRUE,'Ref Solar'!B18:B29&gt;=G49,0)),INDEX('Ref Solar'!C6:C14,MATCH(TRUE,'Ref Solar'!B6:B14&gt;=G49,0)))</f>
        <v>2</v>
      </c>
      <c r="C33">
        <f>_xlfn.XLOOKUP(G49,'Ref Solar'!B18:B29,'Ref Solar'!C18:C29,,1,-1)</f>
        <v>3</v>
      </c>
      <c r="E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</row>
    <row r="34" spans="1:40" hidden="1" outlineLevel="1" x14ac:dyDescent="0.2">
      <c r="A34" t="s">
        <v>64</v>
      </c>
      <c r="B34">
        <v>3.8</v>
      </c>
      <c r="C34">
        <f>IF(B33=3,1,IF(B33=4,1,IF(B33=5,1,2)))</f>
        <v>2</v>
      </c>
      <c r="D34">
        <f>ROUNDDOWN((B33-C34)/(2),0)</f>
        <v>0</v>
      </c>
      <c r="E34" s="143">
        <f>B33-SUM(C34:D34)</f>
        <v>0</v>
      </c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  <c r="AM34" s="143"/>
      <c r="AN34" s="143"/>
    </row>
    <row r="35" spans="1:40" hidden="1" outlineLevel="1" x14ac:dyDescent="0.2">
      <c r="B35">
        <v>7.6</v>
      </c>
      <c r="C35">
        <f>IF(B33=6,2,IF(B33=7,2,IF(B33=8,2,3)))</f>
        <v>3</v>
      </c>
      <c r="D35">
        <f>ROUNDDOWN((B33-C35)/(2),0)</f>
        <v>0</v>
      </c>
      <c r="E35" s="143">
        <f>B33-SUM(C35:D35)</f>
        <v>-1</v>
      </c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  <c r="AK35" s="143"/>
      <c r="AL35" s="143"/>
      <c r="AM35" s="143"/>
      <c r="AN35" s="143"/>
    </row>
    <row r="36" spans="1:40" hidden="1" outlineLevel="1" x14ac:dyDescent="0.2">
      <c r="B36">
        <v>11.4</v>
      </c>
      <c r="C36">
        <f>IF(B33=9,1,IF(B33=10,2,IF(B33=11,3,4)))</f>
        <v>4</v>
      </c>
      <c r="D36">
        <f>ROUNDDOWN((B33-C36)/(2),0)</f>
        <v>-1</v>
      </c>
      <c r="E36" s="143">
        <f>B33-SUM(C36:D36)</f>
        <v>-1</v>
      </c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  <c r="AF36" s="143"/>
      <c r="AG36" s="143"/>
      <c r="AH36" s="143"/>
      <c r="AI36" s="143"/>
      <c r="AJ36" s="143"/>
      <c r="AK36" s="143"/>
      <c r="AL36" s="143"/>
      <c r="AM36" s="143"/>
      <c r="AN36" s="143"/>
    </row>
    <row r="37" spans="1:40" hidden="1" outlineLevel="1" x14ac:dyDescent="0.2">
      <c r="A37" t="s">
        <v>65</v>
      </c>
      <c r="B37">
        <v>3.8</v>
      </c>
      <c r="C37">
        <f>C34*E50</f>
        <v>16</v>
      </c>
      <c r="D37">
        <f>D34*E50</f>
        <v>0</v>
      </c>
      <c r="E37" s="150">
        <f>G49-SUM(C37:D37)</f>
        <v>4</v>
      </c>
      <c r="F37">
        <f>E50*6</f>
        <v>48</v>
      </c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  <c r="AF37" s="143"/>
      <c r="AG37" s="143"/>
      <c r="AH37" s="143"/>
      <c r="AI37" s="143"/>
      <c r="AJ37" s="143"/>
      <c r="AK37" s="143"/>
      <c r="AL37" s="143"/>
      <c r="AM37" s="143"/>
      <c r="AN37" s="143"/>
    </row>
    <row r="38" spans="1:40" hidden="1" outlineLevel="1" x14ac:dyDescent="0.2">
      <c r="B38">
        <v>7.6</v>
      </c>
      <c r="C38">
        <f>C35*E51</f>
        <v>30</v>
      </c>
      <c r="D38">
        <f>D35*E51</f>
        <v>0</v>
      </c>
      <c r="E38" s="150">
        <f>G49-SUM(C38:D38)</f>
        <v>-10</v>
      </c>
      <c r="F38">
        <f>E51*9</f>
        <v>90</v>
      </c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  <c r="AI38" s="143"/>
      <c r="AJ38" s="143"/>
      <c r="AK38" s="143"/>
      <c r="AL38" s="143"/>
      <c r="AM38" s="143"/>
      <c r="AN38" s="143"/>
    </row>
    <row r="39" spans="1:40" hidden="1" outlineLevel="1" x14ac:dyDescent="0.2">
      <c r="B39">
        <v>11.4</v>
      </c>
      <c r="C39">
        <f>C36*E52</f>
        <v>40</v>
      </c>
      <c r="D39">
        <f>D36*E52</f>
        <v>-10</v>
      </c>
      <c r="E39" s="150">
        <f>G49-SUM(C39:D39)</f>
        <v>-10</v>
      </c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  <c r="AF39" s="143"/>
      <c r="AG39" s="143"/>
      <c r="AH39" s="143"/>
      <c r="AI39" s="143"/>
      <c r="AJ39" s="143"/>
      <c r="AK39" s="143"/>
      <c r="AL39" s="143"/>
      <c r="AM39" s="143"/>
      <c r="AN39" s="143"/>
    </row>
    <row r="40" spans="1:40" hidden="1" outlineLevel="1" x14ac:dyDescent="0.2">
      <c r="E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43"/>
      <c r="AK40" s="143"/>
      <c r="AL40" s="143"/>
      <c r="AM40" s="143"/>
      <c r="AN40" s="143"/>
    </row>
    <row r="41" spans="1:40" collapsed="1" x14ac:dyDescent="0.2">
      <c r="A41" s="175" t="s">
        <v>66</v>
      </c>
      <c r="B41" s="176"/>
      <c r="C41" s="176"/>
      <c r="D41" s="180"/>
      <c r="E41" s="143"/>
      <c r="F41" s="179" t="s">
        <v>67</v>
      </c>
      <c r="G41" s="179"/>
      <c r="H41" s="179"/>
      <c r="I41" s="143"/>
      <c r="J41" s="143"/>
      <c r="K41" s="143" t="s">
        <v>68</v>
      </c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</row>
    <row r="42" spans="1:40" x14ac:dyDescent="0.2">
      <c r="A42" s="177" t="s">
        <v>69</v>
      </c>
      <c r="B42" s="177"/>
      <c r="C42" s="178"/>
      <c r="D42" s="233">
        <v>20</v>
      </c>
      <c r="E42" s="143"/>
      <c r="F42" s="166" t="s">
        <v>70</v>
      </c>
      <c r="G42" s="166" t="s">
        <v>71</v>
      </c>
      <c r="H42" s="166"/>
      <c r="I42" s="143"/>
      <c r="J42" s="143"/>
      <c r="K42" s="143" t="s">
        <v>72</v>
      </c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</row>
    <row r="43" spans="1:40" x14ac:dyDescent="0.2">
      <c r="A43" s="178" t="s">
        <v>73</v>
      </c>
      <c r="B43" s="190"/>
      <c r="C43" s="190"/>
      <c r="D43" s="233" t="s">
        <v>74</v>
      </c>
      <c r="E43" s="143"/>
      <c r="F43" s="167">
        <f>IF(D16=208,3*H28,H28)</f>
        <v>4</v>
      </c>
      <c r="G43" s="167">
        <f>E31*12</f>
        <v>120</v>
      </c>
      <c r="H43" s="168" t="s">
        <v>75</v>
      </c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</row>
    <row r="44" spans="1:40" x14ac:dyDescent="0.2">
      <c r="A44" s="143"/>
      <c r="B44" s="143"/>
      <c r="C44" s="143"/>
      <c r="D44" s="143"/>
      <c r="E44" s="143"/>
      <c r="F44" s="167">
        <f>F43*D8/1000</f>
        <v>1.64</v>
      </c>
      <c r="G44" s="167">
        <f>D8*G43/1000</f>
        <v>49.2</v>
      </c>
      <c r="H44" s="168" t="s">
        <v>76</v>
      </c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</row>
    <row r="45" spans="1:40" hidden="1" outlineLevel="1" x14ac:dyDescent="0.2">
      <c r="A45" s="177" t="s">
        <v>77</v>
      </c>
      <c r="B45" s="177"/>
      <c r="C45" s="178"/>
      <c r="D45" s="68">
        <v>200</v>
      </c>
      <c r="E45" t="s">
        <v>78</v>
      </c>
      <c r="F45" s="167"/>
      <c r="G45" s="167"/>
      <c r="H45" s="168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</row>
    <row r="46" spans="1:40" ht="17" collapsed="1" thickBot="1" x14ac:dyDescent="0.25">
      <c r="A46" s="143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</row>
    <row r="47" spans="1:40" ht="17" customHeight="1" x14ac:dyDescent="0.2">
      <c r="A47" s="144"/>
      <c r="B47" s="144"/>
      <c r="C47" s="144"/>
      <c r="D47" s="144"/>
      <c r="E47" s="144"/>
      <c r="F47" s="144"/>
      <c r="G47" s="144"/>
      <c r="H47" s="144"/>
      <c r="I47" s="144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</row>
    <row r="48" spans="1:40" ht="16" customHeight="1" x14ac:dyDescent="0.2">
      <c r="A48" s="171" t="s">
        <v>353</v>
      </c>
      <c r="B48" s="143"/>
      <c r="C48" s="175" t="s">
        <v>79</v>
      </c>
      <c r="D48" s="176"/>
      <c r="E48" s="180"/>
      <c r="F48" s="143"/>
      <c r="G48" s="175" t="s">
        <v>80</v>
      </c>
      <c r="H48" s="176"/>
      <c r="I48" s="143"/>
      <c r="J48" s="143"/>
      <c r="K48" s="143" t="s">
        <v>81</v>
      </c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</row>
    <row r="49" spans="1:40" x14ac:dyDescent="0.2">
      <c r="A49" s="2" t="s">
        <v>354</v>
      </c>
      <c r="B49" s="143"/>
      <c r="C49" s="2" t="s">
        <v>82</v>
      </c>
      <c r="D49" s="2" t="s">
        <v>70</v>
      </c>
      <c r="E49" s="2" t="s">
        <v>71</v>
      </c>
      <c r="F49" s="143"/>
      <c r="G49" s="64">
        <f>IF(D43="kW",D42*1000/D8,D42)</f>
        <v>20</v>
      </c>
      <c r="H49" s="23" t="s">
        <v>74</v>
      </c>
      <c r="I49" s="143"/>
      <c r="K49" s="143" t="s">
        <v>83</v>
      </c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</row>
    <row r="50" spans="1:40" x14ac:dyDescent="0.2">
      <c r="A50" s="59">
        <f>B26</f>
        <v>53.477000000000004</v>
      </c>
      <c r="B50" s="143" t="s">
        <v>50</v>
      </c>
      <c r="C50" s="13">
        <v>3.8</v>
      </c>
      <c r="D50" s="13">
        <f>H28</f>
        <v>4</v>
      </c>
      <c r="E50" s="13">
        <f>E29</f>
        <v>8</v>
      </c>
      <c r="F50" s="143"/>
      <c r="G50" s="23">
        <f>G49*D8/1000</f>
        <v>8.1999999999999993</v>
      </c>
      <c r="H50" s="23" t="s">
        <v>84</v>
      </c>
      <c r="I50" s="143"/>
      <c r="J50" s="143"/>
      <c r="K50" s="143" t="s">
        <v>85</v>
      </c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</row>
    <row r="51" spans="1:40" x14ac:dyDescent="0.2">
      <c r="A51" s="169" t="s">
        <v>355</v>
      </c>
      <c r="B51" s="143"/>
      <c r="C51" s="13">
        <v>7.6</v>
      </c>
      <c r="D51" s="13">
        <f>H29</f>
        <v>5</v>
      </c>
      <c r="E51" s="13">
        <f>E30</f>
        <v>10</v>
      </c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</row>
    <row r="52" spans="1:40" x14ac:dyDescent="0.2">
      <c r="A52" s="170">
        <f>B29</f>
        <v>44.657600000000002</v>
      </c>
      <c r="B52" s="143" t="s">
        <v>50</v>
      </c>
      <c r="C52" s="13">
        <v>11.4</v>
      </c>
      <c r="D52" s="13">
        <f>H30</f>
        <v>5</v>
      </c>
      <c r="E52" s="13">
        <f>E31</f>
        <v>10</v>
      </c>
      <c r="F52" s="143"/>
      <c r="G52" s="172" t="str">
        <f>IF(G49&lt;F43,"***System size too small",IF(G49&gt;G43,"***System size too large",""))</f>
        <v/>
      </c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</row>
    <row r="53" spans="1:40" ht="17" thickBot="1" x14ac:dyDescent="0.25">
      <c r="A53" s="145"/>
      <c r="B53" s="145"/>
      <c r="C53" s="145"/>
      <c r="D53" s="145"/>
      <c r="E53" s="145"/>
      <c r="F53" s="145"/>
      <c r="G53" s="145"/>
      <c r="H53" s="145"/>
      <c r="I53" s="145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  <c r="AI53" s="143"/>
      <c r="AJ53" s="143"/>
      <c r="AK53" s="143"/>
      <c r="AL53" s="143"/>
      <c r="AM53" s="143"/>
      <c r="AN53" s="143"/>
    </row>
    <row r="54" spans="1:40" x14ac:dyDescent="0.2">
      <c r="A54" s="148"/>
      <c r="B54" s="148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</row>
    <row r="55" spans="1:40" x14ac:dyDescent="0.2">
      <c r="A55" s="143"/>
      <c r="B55" t="s">
        <v>86</v>
      </c>
      <c r="C55" s="143"/>
      <c r="D55" s="143"/>
      <c r="E55" s="143"/>
      <c r="F55" s="143"/>
      <c r="G55" s="143"/>
      <c r="H55" s="143"/>
      <c r="I55" s="143"/>
      <c r="J55" s="143"/>
      <c r="K55" s="143" t="s">
        <v>87</v>
      </c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</row>
    <row r="56" spans="1:40" x14ac:dyDescent="0.2">
      <c r="A56" s="10" t="s">
        <v>88</v>
      </c>
      <c r="B56" s="63">
        <f>IF(D16=208,IF(G49&gt;6*E29,0,3),IF(G49&gt;2*E29,0,IF(D16=240,IF(G50&lt;2*3.8,1,0),IF(G50&lt;2*3.29,1,0))))</f>
        <v>0</v>
      </c>
      <c r="C56" s="143"/>
      <c r="D56" s="143"/>
      <c r="E56" s="143"/>
      <c r="F56" s="143"/>
      <c r="G56" s="143"/>
      <c r="H56" s="143"/>
      <c r="I56" s="143"/>
      <c r="J56" s="143"/>
      <c r="K56" s="143" t="s">
        <v>89</v>
      </c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</row>
    <row r="57" spans="1:40" x14ac:dyDescent="0.2">
      <c r="A57" s="149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</row>
    <row r="58" spans="1:40" x14ac:dyDescent="0.2">
      <c r="A58" s="175" t="s">
        <v>90</v>
      </c>
      <c r="B58" s="176"/>
      <c r="C58" s="143"/>
      <c r="D58" s="175" t="s">
        <v>91</v>
      </c>
      <c r="E58" s="176"/>
      <c r="F58" s="143"/>
      <c r="G58" s="175" t="s">
        <v>92</v>
      </c>
      <c r="H58" s="176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43"/>
      <c r="AK58" s="143"/>
      <c r="AL58" s="143"/>
      <c r="AM58" s="143"/>
      <c r="AN58" s="143"/>
    </row>
    <row r="59" spans="1:40" x14ac:dyDescent="0.2">
      <c r="A59" s="77" t="s">
        <v>93</v>
      </c>
      <c r="B59" s="77" t="s">
        <v>74</v>
      </c>
      <c r="C59" s="143"/>
      <c r="D59" s="77" t="s">
        <v>93</v>
      </c>
      <c r="E59" s="77" t="s">
        <v>74</v>
      </c>
      <c r="F59" s="143"/>
      <c r="G59" s="77" t="s">
        <v>93</v>
      </c>
      <c r="H59" s="77" t="s">
        <v>74</v>
      </c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43"/>
      <c r="AG59" s="143"/>
      <c r="AH59" s="143"/>
      <c r="AI59" s="143"/>
      <c r="AJ59" s="143"/>
      <c r="AK59" s="143"/>
      <c r="AL59" s="143"/>
      <c r="AM59" s="143"/>
      <c r="AN59" s="143"/>
    </row>
    <row r="60" spans="1:40" x14ac:dyDescent="0.2">
      <c r="A60" s="23">
        <v>1</v>
      </c>
      <c r="B60" s="23" t="str">
        <f>IF($B$56&lt;&gt;0,VLOOKUP(IF(D16=208,C34,B33),'Ref Solar'!J6:S17,2,FALSE),"-")</f>
        <v>-</v>
      </c>
      <c r="C60" s="143"/>
      <c r="D60" s="23">
        <v>1</v>
      </c>
      <c r="E60" s="23" t="str">
        <f>IF($B$56&lt;&gt;0,VLOOKUP(IF(D16=208,D34,B33),'Ref Solar'!J20:S31,2,FALSE),"-")</f>
        <v>-</v>
      </c>
      <c r="F60" s="143"/>
      <c r="G60" s="23">
        <v>1</v>
      </c>
      <c r="H60" s="23" t="str">
        <f>IF($B$56&lt;&gt;0,VLOOKUP(IF(D16=208,E34,B33),'Ref Solar'!J34:S45,2,FALSE),"-")</f>
        <v>-</v>
      </c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</row>
    <row r="61" spans="1:40" x14ac:dyDescent="0.2">
      <c r="A61" s="23">
        <v>2</v>
      </c>
      <c r="B61" s="23" t="str">
        <f>IF($B$56&lt;&gt;0,VLOOKUP(IF(D16=208,C34,B33),'Ref Solar'!J6:S17,3,FALSE),"-")</f>
        <v>-</v>
      </c>
      <c r="C61" s="143"/>
      <c r="D61" s="23">
        <v>2</v>
      </c>
      <c r="E61" s="23" t="str">
        <f>IF($B$56&lt;&gt;0,VLOOKUP(IF(D16=208,D34,B33),'Ref Solar'!J20:S31,3,FALSE),"-")</f>
        <v>-</v>
      </c>
      <c r="F61" s="143"/>
      <c r="G61" s="23">
        <v>2</v>
      </c>
      <c r="H61" s="23" t="str">
        <f>IF($B$56&lt;&gt;0,VLOOKUP(IF(D16=208,E34,B33),'Ref Solar'!J34:S45,3,FALSE),"-")</f>
        <v>-</v>
      </c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43"/>
      <c r="AG61" s="143"/>
      <c r="AH61" s="143"/>
      <c r="AI61" s="143"/>
      <c r="AJ61" s="143"/>
      <c r="AK61" s="143"/>
      <c r="AL61" s="143"/>
      <c r="AM61" s="143"/>
      <c r="AN61" s="143"/>
    </row>
    <row r="62" spans="1:40" x14ac:dyDescent="0.2">
      <c r="A62" s="158" t="s">
        <v>94</v>
      </c>
      <c r="B62" s="159">
        <f>SUM(B60:B61)*D8/(E25)/F29</f>
        <v>0</v>
      </c>
      <c r="C62" s="143"/>
      <c r="D62" s="158" t="s">
        <v>94</v>
      </c>
      <c r="E62" s="159">
        <f>SUM(E60:E61)*D8/(E25)/F29</f>
        <v>0</v>
      </c>
      <c r="F62" s="143"/>
      <c r="G62" s="158" t="s">
        <v>94</v>
      </c>
      <c r="H62" s="159">
        <f>SUM(H60:H61)*D8/(E25)/F29</f>
        <v>0</v>
      </c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143"/>
      <c r="AN62" s="143"/>
    </row>
    <row r="63" spans="1:40" x14ac:dyDescent="0.2">
      <c r="A63" s="143"/>
      <c r="B63" s="147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  <c r="AI63" s="143"/>
      <c r="AJ63" s="143"/>
      <c r="AK63" s="143"/>
      <c r="AL63" s="143"/>
      <c r="AM63" s="143"/>
      <c r="AN63" s="143"/>
    </row>
    <row r="64" spans="1:40" x14ac:dyDescent="0.2">
      <c r="A64" s="154" t="s">
        <v>95</v>
      </c>
      <c r="B64" s="155" t="s">
        <v>86</v>
      </c>
      <c r="C64" s="147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43"/>
      <c r="AN64" s="143"/>
    </row>
    <row r="65" spans="1:40" x14ac:dyDescent="0.2">
      <c r="A65" s="156" t="str">
        <f>IF(B56&lt;&gt;0,"OR","")</f>
        <v/>
      </c>
      <c r="B65" s="157">
        <f>IF(D16=208,IF(B56=0,_xlfn.XLOOKUP(B33,'Ref Solar'!C18:C29,'Ref Solar'!E18:E29,,-1,-1),B56),IF(B56=0,VLOOKUP(MAX(B33),'Ref Solar'!C8:G14,3,FALSE),B56))</f>
        <v>1</v>
      </c>
      <c r="C65" s="147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43"/>
      <c r="AG65" s="143"/>
      <c r="AH65" s="143"/>
      <c r="AI65" s="143"/>
      <c r="AJ65" s="143"/>
      <c r="AK65" s="143"/>
      <c r="AL65" s="143"/>
      <c r="AM65" s="143"/>
      <c r="AN65" s="143"/>
    </row>
    <row r="66" spans="1:40" x14ac:dyDescent="0.2">
      <c r="A66" s="143"/>
      <c r="B66" s="143"/>
      <c r="C66" s="143"/>
      <c r="D66" s="143"/>
      <c r="E66" s="143"/>
      <c r="F66" s="143"/>
      <c r="G66" s="147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43"/>
      <c r="AG66" s="143"/>
      <c r="AH66" s="143"/>
      <c r="AI66" s="143"/>
      <c r="AJ66" s="143"/>
      <c r="AK66" s="143"/>
      <c r="AL66" s="143"/>
      <c r="AM66" s="143"/>
      <c r="AN66" s="143"/>
    </row>
    <row r="67" spans="1:40" x14ac:dyDescent="0.2">
      <c r="A67" s="175" t="s">
        <v>90</v>
      </c>
      <c r="B67" s="176"/>
      <c r="C67" s="143"/>
      <c r="D67" s="175" t="s">
        <v>91</v>
      </c>
      <c r="E67" s="176"/>
      <c r="F67" s="143"/>
      <c r="G67" s="175" t="s">
        <v>92</v>
      </c>
      <c r="H67" s="176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43"/>
      <c r="AG67" s="143"/>
      <c r="AH67" s="143"/>
      <c r="AI67" s="143"/>
      <c r="AJ67" s="143"/>
      <c r="AK67" s="143"/>
      <c r="AL67" s="143"/>
      <c r="AM67" s="143"/>
      <c r="AN67" s="143"/>
    </row>
    <row r="68" spans="1:40" x14ac:dyDescent="0.2">
      <c r="A68" s="77" t="s">
        <v>93</v>
      </c>
      <c r="B68" s="77" t="s">
        <v>74</v>
      </c>
      <c r="C68" s="143"/>
      <c r="D68" s="77" t="s">
        <v>93</v>
      </c>
      <c r="E68" s="77" t="s">
        <v>74</v>
      </c>
      <c r="F68" s="143"/>
      <c r="G68" s="77" t="s">
        <v>93</v>
      </c>
      <c r="H68" s="77" t="s">
        <v>74</v>
      </c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43"/>
      <c r="AG68" s="143"/>
      <c r="AH68" s="143"/>
      <c r="AI68" s="143"/>
      <c r="AJ68" s="143"/>
      <c r="AK68" s="143"/>
      <c r="AL68" s="143"/>
      <c r="AM68" s="143"/>
      <c r="AN68" s="143"/>
    </row>
    <row r="69" spans="1:40" x14ac:dyDescent="0.2">
      <c r="A69" s="23">
        <v>1</v>
      </c>
      <c r="B69" s="23">
        <f>IF($B$65&lt;&gt;0,VLOOKUP(IF(D16=208,B33/3,B33),'Ref Solar'!J6:S17,2,FALSE),"-")</f>
        <v>10</v>
      </c>
      <c r="C69" s="143"/>
      <c r="D69" s="23">
        <v>1</v>
      </c>
      <c r="E69" s="23" t="str">
        <f>IF($B$65&lt;&gt;0,IF(B65=1,"-",IF(D16=208,VLOOKUP($B$33/3,'Ref Solar'!J20:S31,2,FALSE),VLOOKUP($B$33,'Ref Solar'!J6:S17,5,FALSE))),"-")</f>
        <v>-</v>
      </c>
      <c r="F69" s="143"/>
      <c r="G69" s="23">
        <v>1</v>
      </c>
      <c r="H69" s="23" t="str">
        <f>IF($B$65&lt;&gt;0,IF(B65=2,"-",IF(B65=1,"-",IF(D16=208,VLOOKUP($B$33/3,'Ref Solar'!J34:S45,2,FALSE),VLOOKUP($B$33,'Ref Solar'!J6:S17,8,FALSE)))),"-")</f>
        <v>-</v>
      </c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3"/>
      <c r="AH69" s="143"/>
      <c r="AI69" s="143"/>
      <c r="AJ69" s="143"/>
      <c r="AK69" s="143"/>
      <c r="AL69" s="143"/>
      <c r="AM69" s="143"/>
      <c r="AN69" s="143"/>
    </row>
    <row r="70" spans="1:40" x14ac:dyDescent="0.2">
      <c r="A70" s="23">
        <v>2</v>
      </c>
      <c r="B70" s="23">
        <f>IF($B$65&lt;&gt;0,VLOOKUP(IF(D16=208,(B33)/3,B33),'Ref Solar'!J6:S17,3,FALSE),"-")</f>
        <v>10</v>
      </c>
      <c r="C70" s="143"/>
      <c r="D70" s="23">
        <v>2</v>
      </c>
      <c r="E70" s="23" t="str">
        <f>IF($B$65&lt;&gt;0,IF(B65=1,"-",IF(D16=208,VLOOKUP($B$33/3,'Ref Solar'!J20:S31,3,FALSE),VLOOKUP($B$33,'Ref Solar'!J6:S17,6,FALSE))),"-")</f>
        <v>-</v>
      </c>
      <c r="F70" s="143"/>
      <c r="G70" s="23">
        <v>2</v>
      </c>
      <c r="H70" s="23" t="str">
        <f>IF($B$65&lt;&gt;0,IF(B65=2,"-",IF(B65=1,"-",IF(D16=208,VLOOKUP($B$33/3,'Ref Solar'!J34:S45,3,FALSE),VLOOKUP($B$33,'Ref Solar'!J6:S17,9,FALSE)))),"-")</f>
        <v>-</v>
      </c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43"/>
      <c r="AG70" s="143"/>
      <c r="AH70" s="143"/>
      <c r="AI70" s="143"/>
      <c r="AJ70" s="143"/>
      <c r="AK70" s="143"/>
      <c r="AL70" s="143"/>
      <c r="AM70" s="143"/>
      <c r="AN70" s="143"/>
    </row>
    <row r="71" spans="1:40" x14ac:dyDescent="0.2">
      <c r="A71" s="23">
        <v>3</v>
      </c>
      <c r="B71" s="23">
        <f>IF($B$65&lt;&gt;0,VLOOKUP(IF(D16=208,(B33)/3,B33),'Ref Solar'!J6:S17,4,FALSE),"-")</f>
        <v>0</v>
      </c>
      <c r="C71" s="143"/>
      <c r="D71" s="23">
        <v>3</v>
      </c>
      <c r="E71" s="23" t="str">
        <f>IF($B$65&lt;&gt;0,IF(B65=1,"-",IF(D16=208,VLOOKUP($B$33/3,'Ref Solar'!J20:S31,4,FALSE),VLOOKUP($B$33,'Ref Solar'!J6:S17,7,FALSE))),"-")</f>
        <v>-</v>
      </c>
      <c r="F71" s="143"/>
      <c r="G71" s="23">
        <v>3</v>
      </c>
      <c r="H71" s="23" t="str">
        <f>IF($B$65&lt;&gt;0,IF(B65=2,"-",IF(B65=1,"-",IF(D16=208,VLOOKUP($B$33/3,'Ref Solar'!J34:S45,4,FALSE),VLOOKUP($B$33,'Ref Solar'!J6:S17,10,FALSE)))),"-")</f>
        <v>-</v>
      </c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43"/>
      <c r="AG71" s="143"/>
      <c r="AH71" s="143"/>
      <c r="AI71" s="143"/>
      <c r="AJ71" s="143"/>
      <c r="AK71" s="143"/>
      <c r="AL71" s="143"/>
      <c r="AM71" s="143"/>
      <c r="AN71" s="143"/>
    </row>
    <row r="72" spans="1:40" x14ac:dyDescent="0.2">
      <c r="A72" s="158" t="s">
        <v>94</v>
      </c>
      <c r="B72" s="159">
        <f>SUM(B69:B71)*D8/(E26)/F30</f>
        <v>1.106612685560054</v>
      </c>
      <c r="D72" s="158" t="s">
        <v>94</v>
      </c>
      <c r="E72" s="159">
        <f>IFERROR(SUM(E69:E71)*D8/(E26),0)/F30</f>
        <v>0</v>
      </c>
      <c r="G72" s="158" t="s">
        <v>94</v>
      </c>
      <c r="H72" s="159">
        <f>IFERROR(SUM(H69:H71)*D8/(E26),0)/F30</f>
        <v>0</v>
      </c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3"/>
      <c r="AH72" s="143"/>
      <c r="AI72" s="143"/>
      <c r="AJ72" s="143"/>
      <c r="AK72" s="143"/>
      <c r="AL72" s="143"/>
      <c r="AM72" s="143"/>
      <c r="AN72" s="143"/>
    </row>
    <row r="73" spans="1:40" x14ac:dyDescent="0.2">
      <c r="A73" s="143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  <c r="AF73" s="143"/>
      <c r="AG73" s="143"/>
      <c r="AH73" s="143"/>
      <c r="AI73" s="143"/>
      <c r="AJ73" s="143"/>
      <c r="AK73" s="143"/>
      <c r="AL73" s="143"/>
      <c r="AM73" s="143"/>
      <c r="AN73" s="143"/>
    </row>
    <row r="74" spans="1:40" x14ac:dyDescent="0.2">
      <c r="A74" s="154" t="s">
        <v>96</v>
      </c>
      <c r="B74" s="155" t="s">
        <v>86</v>
      </c>
      <c r="C74" s="146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  <c r="AF74" s="143"/>
      <c r="AG74" s="143"/>
      <c r="AH74" s="143"/>
      <c r="AI74" s="143"/>
      <c r="AJ74" s="143"/>
      <c r="AK74" s="143"/>
      <c r="AL74" s="143"/>
      <c r="AM74" s="143"/>
      <c r="AN74" s="143"/>
    </row>
    <row r="75" spans="1:40" x14ac:dyDescent="0.2">
      <c r="A75" s="156" t="str">
        <f>IF(B65&lt;&gt;0,"OR","")</f>
        <v>OR</v>
      </c>
      <c r="B75" s="157">
        <f>IF(D16=208,IF(B56=0,_xlfn.XLOOKUP(B33,'Ref Solar'!C18:C29,'Ref Solar'!E18:E29,,-1,-1),B56),IF(B56=0,IF(B65=0,VLOOKUP(MAX(B33:B34),'Ref Solar'!C8:G14,4,FALSE),B65),B56))</f>
        <v>1</v>
      </c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  <c r="AF75" s="143"/>
      <c r="AG75" s="143"/>
      <c r="AH75" s="143"/>
      <c r="AI75" s="143"/>
      <c r="AJ75" s="143"/>
      <c r="AK75" s="143"/>
      <c r="AL75" s="143"/>
      <c r="AM75" s="143"/>
      <c r="AN75" s="143"/>
    </row>
    <row r="76" spans="1:40" x14ac:dyDescent="0.2">
      <c r="A76" s="143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  <c r="AF76" s="143"/>
      <c r="AG76" s="143"/>
      <c r="AH76" s="143"/>
      <c r="AI76" s="143"/>
      <c r="AJ76" s="143"/>
      <c r="AK76" s="143"/>
      <c r="AL76" s="143"/>
      <c r="AM76" s="143"/>
      <c r="AN76" s="143"/>
    </row>
    <row r="77" spans="1:40" x14ac:dyDescent="0.2">
      <c r="A77" s="175" t="s">
        <v>90</v>
      </c>
      <c r="B77" s="176"/>
      <c r="D77" s="175" t="s">
        <v>91</v>
      </c>
      <c r="E77" s="176"/>
      <c r="G77" s="175" t="s">
        <v>92</v>
      </c>
      <c r="H77" s="176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  <c r="AF77" s="143"/>
      <c r="AG77" s="143"/>
      <c r="AH77" s="143"/>
      <c r="AI77" s="143"/>
      <c r="AJ77" s="143"/>
      <c r="AK77" s="143"/>
      <c r="AL77" s="143"/>
      <c r="AM77" s="143"/>
      <c r="AN77" s="143"/>
    </row>
    <row r="78" spans="1:40" x14ac:dyDescent="0.2">
      <c r="A78" s="77" t="s">
        <v>93</v>
      </c>
      <c r="B78" s="77" t="s">
        <v>74</v>
      </c>
      <c r="C78" s="146"/>
      <c r="D78" s="77" t="s">
        <v>93</v>
      </c>
      <c r="E78" s="77" t="s">
        <v>74</v>
      </c>
      <c r="F78" s="143"/>
      <c r="G78" s="77" t="s">
        <v>93</v>
      </c>
      <c r="H78" s="77" t="s">
        <v>74</v>
      </c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  <c r="AF78" s="143"/>
      <c r="AG78" s="143"/>
      <c r="AH78" s="143"/>
      <c r="AI78" s="143"/>
      <c r="AJ78" s="143"/>
      <c r="AK78" s="143"/>
      <c r="AL78" s="143"/>
      <c r="AM78" s="143"/>
      <c r="AN78" s="143"/>
    </row>
    <row r="79" spans="1:40" x14ac:dyDescent="0.2">
      <c r="A79" s="23">
        <v>1</v>
      </c>
      <c r="B79" s="23">
        <f>IF(B65&lt;&gt;0,B69,IF(OR(B33=4,B33=8,B33=12),VLOOKUP(B33,'Ref Solar'!J6:V17,2,FALSE),IF(OR(B33=7,B33=11),VLOOKUP(B33,'Ref Solar'!J6:V17,5,FALSE),IF(B33=10,VLOOKUP(B33,'Ref Solar'!J6:V17,8,FALSE),"-"))))</f>
        <v>10</v>
      </c>
      <c r="C79" s="143"/>
      <c r="D79" s="23">
        <v>1</v>
      </c>
      <c r="E79" s="23" t="str">
        <f>IF(OR(B65=2,B65=3),E69,IF(OR(B33=8,B33=12),VLOOKUP(B33,'Ref Solar'!J5:V17,6,FALSE),IF(B33=11,VLOOKUP(B33,'Ref Solar'!J5:V17,9,FALSE),"-")))</f>
        <v>-</v>
      </c>
      <c r="F79" s="143"/>
      <c r="G79" s="23">
        <v>1</v>
      </c>
      <c r="H79" s="23" t="str">
        <f>IF(B65=3,H69,IF(B75=3,VLOOKUP(B33,'Ref Solar'!J5:V17,10,FALSE),"-"))</f>
        <v>-</v>
      </c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  <c r="AF79" s="143"/>
      <c r="AG79" s="143"/>
      <c r="AH79" s="143"/>
      <c r="AI79" s="143"/>
      <c r="AJ79" s="143"/>
      <c r="AK79" s="143"/>
      <c r="AL79" s="143"/>
      <c r="AM79" s="143"/>
      <c r="AN79" s="143"/>
    </row>
    <row r="80" spans="1:40" x14ac:dyDescent="0.2">
      <c r="A80" s="23">
        <v>2</v>
      </c>
      <c r="B80" s="23">
        <f>IF(B65&lt;&gt;0,B70,IF(OR(B33=4,B33=8,B33=12),VLOOKUP(B33,'Ref Solar'!J6:V17,3,FALSE),IF(OR(B33=7,B33=11),VLOOKUP(B33,'Ref Solar'!J6:V17,6,FALSE),IF(B33=10,VLOOKUP(B33,'Ref Solar'!J6:V17,9,FALSE),"-"))))</f>
        <v>10</v>
      </c>
      <c r="C80" s="143"/>
      <c r="D80" s="23">
        <v>2</v>
      </c>
      <c r="E80" s="23" t="str">
        <f>IF(OR(B65=2,B65=3),E70,IF(OR(B33=8,B33=12),VLOOKUP(B33,'Ref Solar'!J5:V17,7,FALSE),IF(B33=11,VLOOKUP(B33,'Ref Solar'!J5:V17,10,FALSE),"-")))</f>
        <v>-</v>
      </c>
      <c r="F80" s="143"/>
      <c r="G80" s="23">
        <v>2</v>
      </c>
      <c r="H80" s="23" t="str">
        <f>IF(B65=3,H70,IF(B75=3,VLOOKUP(B33,'Ref Solar'!J5:V17,12,FALSE),"-"))</f>
        <v>-</v>
      </c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  <c r="AF80" s="143"/>
      <c r="AG80" s="143"/>
      <c r="AH80" s="143"/>
      <c r="AI80" s="143"/>
      <c r="AJ80" s="143"/>
      <c r="AK80" s="143"/>
      <c r="AL80" s="143"/>
      <c r="AM80" s="143"/>
      <c r="AN80" s="143"/>
    </row>
    <row r="81" spans="1:40" x14ac:dyDescent="0.2">
      <c r="A81" s="23">
        <v>3</v>
      </c>
      <c r="B81" s="23">
        <f>IF(B65&lt;&gt;0,B71,IF(OR(B33=4,B33=8,B33=12),VLOOKUP(B33,'Ref Solar'!J6:V17,4,FALSE),IF(OR(B33=7,B33=11),VLOOKUP(B33,'Ref Solar'!J6:V17,7,FALSE),IF(B33=10,VLOOKUP(B33,'Ref Solar'!J6:V17,10,FALSE),"-"))))</f>
        <v>0</v>
      </c>
      <c r="C81" s="143"/>
      <c r="D81" s="23">
        <v>3</v>
      </c>
      <c r="E81" s="23" t="str">
        <f>IF(OR(B65=2,B65=3),E71,IF(OR(B33=8,B33=12),VLOOKUP(B33,'Ref Solar'!J5:V17,8,FALSE),IF(B33=11,VLOOKUP(B33,'Ref Solar'!J5:V17,11,FALSE),"-")))</f>
        <v>-</v>
      </c>
      <c r="F81" s="143"/>
      <c r="G81" s="23">
        <v>3</v>
      </c>
      <c r="H81" s="23" t="str">
        <f>IF(B65=3,H71,IF(B75=3,VLOOKUP(B33,'Ref Solar'!J5:V17,12,FALSE),"-"))</f>
        <v>-</v>
      </c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  <c r="AF81" s="143"/>
      <c r="AG81" s="143"/>
      <c r="AH81" s="143"/>
      <c r="AI81" s="143"/>
      <c r="AJ81" s="143"/>
      <c r="AK81" s="143"/>
      <c r="AL81" s="143"/>
      <c r="AM81" s="143"/>
      <c r="AN81" s="143"/>
    </row>
    <row r="82" spans="1:40" x14ac:dyDescent="0.2">
      <c r="A82" s="23">
        <v>4</v>
      </c>
      <c r="B82" s="23" t="str">
        <f>IF(OR(B33=4,B33=8,B33=12),VLOOKUP(B33,'Ref Solar'!J6:V17,5,FALSE),IF(OR(B33=7,B33=11),VLOOKUP(B33,'Ref Solar'!J6:V17,8,FALSE),IF(B33=10,VLOOKUP(B33,'Ref Solar'!J6:V17,11,FALSE),"-")))</f>
        <v>-</v>
      </c>
      <c r="C82" s="143"/>
      <c r="D82" s="23">
        <v>4</v>
      </c>
      <c r="E82" s="23" t="str">
        <f>IF(OR(B33=8,B33=12),VLOOKUP(B33,'Ref Solar'!J5:V17,9,FALSE),IF(B33=11,VLOOKUP(B33,'Ref Solar'!J5:V17,12,FALSE),"-"))</f>
        <v>-</v>
      </c>
      <c r="F82" s="143"/>
      <c r="G82" s="23">
        <v>4</v>
      </c>
      <c r="H82" s="23" t="str">
        <f>IF(B75=3,VLOOKUP(B33,'Ref Solar'!J5:V17,13,FALSE),"-")</f>
        <v>-</v>
      </c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  <c r="AF82" s="143"/>
      <c r="AG82" s="143"/>
      <c r="AH82" s="143"/>
      <c r="AI82" s="143"/>
      <c r="AJ82" s="143"/>
      <c r="AK82" s="143"/>
      <c r="AL82" s="143"/>
      <c r="AM82" s="143"/>
      <c r="AN82" s="143"/>
    </row>
    <row r="83" spans="1:40" x14ac:dyDescent="0.2">
      <c r="A83" s="158" t="s">
        <v>94</v>
      </c>
      <c r="B83" s="159">
        <f>SUM(B79:B82)*D8/(E27)/F31</f>
        <v>0.73397780164697457</v>
      </c>
      <c r="D83" s="158" t="s">
        <v>94</v>
      </c>
      <c r="E83" s="159">
        <f>IFERROR(SUM(E79:E82)*D8/(E27),0)/F31</f>
        <v>0</v>
      </c>
      <c r="G83" s="158" t="s">
        <v>94</v>
      </c>
      <c r="H83" s="159">
        <f>IFERROR(SUM(H79:H82)*D8/(E27),0)/F31</f>
        <v>0</v>
      </c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  <c r="AF83" s="143"/>
      <c r="AG83" s="143"/>
      <c r="AH83" s="143"/>
      <c r="AI83" s="143"/>
      <c r="AJ83" s="143"/>
      <c r="AK83" s="143"/>
      <c r="AL83" s="143"/>
      <c r="AM83" s="143"/>
      <c r="AN83" s="143"/>
    </row>
    <row r="84" spans="1:40" x14ac:dyDescent="0.2">
      <c r="A84" s="143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  <c r="AF84" s="143"/>
      <c r="AG84" s="143"/>
      <c r="AH84" s="143"/>
      <c r="AI84" s="143"/>
      <c r="AJ84" s="143"/>
      <c r="AK84" s="143"/>
      <c r="AL84" s="143"/>
      <c r="AM84" s="143"/>
      <c r="AN84" s="143"/>
    </row>
    <row r="85" spans="1:40" x14ac:dyDescent="0.2">
      <c r="A85" s="143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  <c r="AF85" s="143"/>
      <c r="AG85" s="143"/>
      <c r="AH85" s="143"/>
      <c r="AI85" s="143"/>
      <c r="AJ85" s="143"/>
      <c r="AK85" s="143"/>
      <c r="AL85" s="143"/>
      <c r="AM85" s="143"/>
      <c r="AN85" s="143"/>
    </row>
    <row r="86" spans="1:40" x14ac:dyDescent="0.2">
      <c r="A86" s="143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  <c r="AF86" s="143"/>
      <c r="AG86" s="143"/>
      <c r="AH86" s="143"/>
      <c r="AI86" s="143"/>
      <c r="AJ86" s="143"/>
      <c r="AK86" s="143"/>
      <c r="AL86" s="143"/>
      <c r="AM86" s="143"/>
      <c r="AN86" s="143"/>
    </row>
    <row r="87" spans="1:40" x14ac:dyDescent="0.2">
      <c r="A87" s="175" t="s">
        <v>97</v>
      </c>
      <c r="B87" s="176"/>
      <c r="C87" s="176"/>
      <c r="D87" s="176"/>
      <c r="E87" s="176"/>
      <c r="F87" s="176"/>
      <c r="G87" s="176"/>
      <c r="H87" s="180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  <c r="AF87" s="143"/>
      <c r="AG87" s="143"/>
      <c r="AH87" s="143"/>
      <c r="AI87" s="143"/>
      <c r="AJ87" s="143"/>
      <c r="AK87" s="143"/>
      <c r="AL87" s="143"/>
      <c r="AM87" s="143"/>
      <c r="AN87" s="143"/>
    </row>
    <row r="88" spans="1:40" x14ac:dyDescent="0.2">
      <c r="A88" s="164" t="s">
        <v>98</v>
      </c>
      <c r="B88" s="160"/>
      <c r="C88" s="160"/>
      <c r="D88" s="160"/>
      <c r="E88" s="160"/>
      <c r="F88" s="160"/>
      <c r="G88" s="160"/>
      <c r="H88" s="161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  <c r="AF88" s="143"/>
      <c r="AG88" s="143"/>
      <c r="AH88" s="143"/>
      <c r="AI88" s="143"/>
      <c r="AJ88" s="143"/>
      <c r="AK88" s="143"/>
      <c r="AL88" s="143"/>
      <c r="AM88" s="143"/>
      <c r="AN88" s="143"/>
    </row>
    <row r="89" spans="1:40" x14ac:dyDescent="0.2">
      <c r="A89" s="162"/>
      <c r="B89" s="143"/>
      <c r="C89" s="143"/>
      <c r="D89" s="143"/>
      <c r="E89" s="143"/>
      <c r="F89" s="143"/>
      <c r="G89" s="143"/>
      <c r="H89" s="16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  <c r="AF89" s="143"/>
      <c r="AG89" s="143"/>
      <c r="AH89" s="143"/>
      <c r="AI89" s="143"/>
      <c r="AJ89" s="143"/>
      <c r="AK89" s="143"/>
      <c r="AL89" s="143"/>
      <c r="AM89" s="143"/>
      <c r="AN89" s="143"/>
    </row>
    <row r="90" spans="1:40" x14ac:dyDescent="0.2">
      <c r="A90" s="162" t="s">
        <v>99</v>
      </c>
      <c r="B90" s="143"/>
      <c r="C90" s="143"/>
      <c r="D90" s="143"/>
      <c r="E90" s="143"/>
      <c r="F90" s="143"/>
      <c r="G90" s="143"/>
      <c r="H90" s="16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  <c r="AF90" s="143"/>
      <c r="AG90" s="143"/>
      <c r="AH90" s="143"/>
      <c r="AI90" s="143"/>
      <c r="AJ90" s="143"/>
      <c r="AK90" s="143"/>
      <c r="AL90" s="143"/>
      <c r="AM90" s="143"/>
      <c r="AN90" s="143"/>
    </row>
    <row r="91" spans="1:40" x14ac:dyDescent="0.2">
      <c r="A91" s="162"/>
      <c r="B91" s="143"/>
      <c r="C91" s="143"/>
      <c r="D91" s="143"/>
      <c r="E91" s="143"/>
      <c r="F91" s="143"/>
      <c r="G91" s="143"/>
      <c r="H91" s="16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  <c r="AF91" s="143"/>
      <c r="AG91" s="143"/>
      <c r="AH91" s="143"/>
      <c r="AI91" s="143"/>
      <c r="AJ91" s="143"/>
      <c r="AK91" s="143"/>
      <c r="AL91" s="143"/>
      <c r="AM91" s="143"/>
      <c r="AN91" s="143"/>
    </row>
    <row r="92" spans="1:40" ht="16" customHeight="1" x14ac:dyDescent="0.2">
      <c r="A92" s="184" t="s">
        <v>100</v>
      </c>
      <c r="B92" s="185"/>
      <c r="C92" s="185"/>
      <c r="D92" s="185"/>
      <c r="E92" s="185"/>
      <c r="F92" s="185"/>
      <c r="G92" s="185"/>
      <c r="H92" s="186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  <c r="AF92" s="143"/>
      <c r="AG92" s="143"/>
      <c r="AH92" s="143"/>
      <c r="AI92" s="143"/>
      <c r="AJ92" s="143"/>
      <c r="AK92" s="143"/>
      <c r="AL92" s="143"/>
      <c r="AM92" s="143"/>
      <c r="AN92" s="143"/>
    </row>
    <row r="93" spans="1:40" x14ac:dyDescent="0.2">
      <c r="A93" s="184"/>
      <c r="B93" s="185"/>
      <c r="C93" s="185"/>
      <c r="D93" s="185"/>
      <c r="E93" s="185"/>
      <c r="F93" s="185"/>
      <c r="G93" s="185"/>
      <c r="H93" s="186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  <c r="AF93" s="143"/>
      <c r="AG93" s="143"/>
      <c r="AH93" s="143"/>
      <c r="AI93" s="143"/>
      <c r="AJ93" s="143"/>
      <c r="AK93" s="143"/>
      <c r="AL93" s="143"/>
      <c r="AM93" s="143"/>
      <c r="AN93" s="143"/>
    </row>
    <row r="94" spans="1:40" x14ac:dyDescent="0.2">
      <c r="A94" s="162"/>
      <c r="B94" s="143"/>
      <c r="C94" s="143"/>
      <c r="D94" s="143"/>
      <c r="E94" s="143"/>
      <c r="F94" s="143"/>
      <c r="G94" s="143"/>
      <c r="H94" s="16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  <c r="AF94" s="143"/>
      <c r="AG94" s="143"/>
      <c r="AH94" s="143"/>
      <c r="AI94" s="143"/>
      <c r="AJ94" s="143"/>
      <c r="AK94" s="143"/>
      <c r="AL94" s="143"/>
      <c r="AM94" s="143"/>
      <c r="AN94" s="143"/>
    </row>
    <row r="95" spans="1:40" x14ac:dyDescent="0.2">
      <c r="A95" s="184" t="s">
        <v>101</v>
      </c>
      <c r="B95" s="185"/>
      <c r="C95" s="185"/>
      <c r="D95" s="185"/>
      <c r="E95" s="185"/>
      <c r="F95" s="185"/>
      <c r="G95" s="185"/>
      <c r="H95" s="186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</row>
    <row r="96" spans="1:40" x14ac:dyDescent="0.2">
      <c r="A96" s="187"/>
      <c r="B96" s="188"/>
      <c r="C96" s="188"/>
      <c r="D96" s="188"/>
      <c r="E96" s="188"/>
      <c r="F96" s="188"/>
      <c r="G96" s="188"/>
      <c r="H96" s="189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  <c r="AF96" s="143"/>
      <c r="AG96" s="143"/>
      <c r="AH96" s="143"/>
      <c r="AI96" s="143"/>
      <c r="AJ96" s="143"/>
      <c r="AK96" s="143"/>
      <c r="AL96" s="143"/>
      <c r="AM96" s="143"/>
      <c r="AN96" s="143"/>
    </row>
    <row r="97" spans="1:40" x14ac:dyDescent="0.2">
      <c r="A97" s="173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  <c r="AF97" s="143"/>
      <c r="AG97" s="143"/>
      <c r="AH97" s="143"/>
      <c r="AI97" s="143"/>
      <c r="AJ97" s="143"/>
      <c r="AK97" s="143"/>
      <c r="AL97" s="143"/>
      <c r="AM97" s="143"/>
      <c r="AN97" s="143"/>
    </row>
    <row r="98" spans="1:40" x14ac:dyDescent="0.2">
      <c r="A98" s="173" t="s">
        <v>359</v>
      </c>
      <c r="B98" s="143"/>
      <c r="C98" s="143"/>
      <c r="D98" s="143"/>
      <c r="E98" s="143"/>
      <c r="F98" s="143"/>
      <c r="G98" s="143"/>
      <c r="H98" s="143"/>
      <c r="I98" s="143"/>
      <c r="J98" s="143"/>
    </row>
  </sheetData>
  <sheetProtection algorithmName="SHA-512" hashValue="6RVE7cARAxT7MFKst2nYo7P985zAark2LhdDlgLLgcTH6XF5s0IBgFBHFlakgzhmagU+uSAVP+Y4v7EziyrlvQ==" saltValue="yHDWn2dpOdJnUsQ9DMVD8w==" spinCount="100000" sheet="1" formatCells="0"/>
  <protectedRanges>
    <protectedRange sqref="D2:D8" name="Range1"/>
    <protectedRange sqref="D12:D14 E41" name="Range1_1"/>
  </protectedRanges>
  <mergeCells count="27">
    <mergeCell ref="A92:H93"/>
    <mergeCell ref="A95:H96"/>
    <mergeCell ref="A87:H87"/>
    <mergeCell ref="G58:H58"/>
    <mergeCell ref="A15:D15"/>
    <mergeCell ref="A16:C16"/>
    <mergeCell ref="G77:H77"/>
    <mergeCell ref="D77:E77"/>
    <mergeCell ref="A77:B77"/>
    <mergeCell ref="A43:C43"/>
    <mergeCell ref="A17:C17"/>
    <mergeCell ref="A42:C42"/>
    <mergeCell ref="A41:D41"/>
    <mergeCell ref="G67:H67"/>
    <mergeCell ref="D67:E67"/>
    <mergeCell ref="A58:B58"/>
    <mergeCell ref="A1:D1"/>
    <mergeCell ref="A10:D10"/>
    <mergeCell ref="A12:C12"/>
    <mergeCell ref="A13:C13"/>
    <mergeCell ref="A11:C11"/>
    <mergeCell ref="A67:B67"/>
    <mergeCell ref="A45:C45"/>
    <mergeCell ref="F41:H41"/>
    <mergeCell ref="D58:E58"/>
    <mergeCell ref="G48:H48"/>
    <mergeCell ref="C48:E48"/>
  </mergeCells>
  <phoneticPr fontId="5" type="noConversion"/>
  <conditionalFormatting sqref="D4">
    <cfRule type="cellIs" dxfId="33" priority="15" operator="greaterThan">
      <formula>16.9</formula>
    </cfRule>
  </conditionalFormatting>
  <conditionalFormatting sqref="D5">
    <cfRule type="cellIs" dxfId="32" priority="16" operator="greaterThan">
      <formula>13.5</formula>
    </cfRule>
  </conditionalFormatting>
  <conditionalFormatting sqref="D8">
    <cfRule type="cellIs" dxfId="31" priority="14" operator="greaterThan">
      <formula>700</formula>
    </cfRule>
  </conditionalFormatting>
  <conditionalFormatting sqref="D45">
    <cfRule type="cellIs" dxfId="30" priority="10" operator="greaterThan">
      <formula>200</formula>
    </cfRule>
    <cfRule type="cellIs" dxfId="29" priority="11" operator="lessThan">
      <formula>100</formula>
    </cfRule>
  </conditionalFormatting>
  <conditionalFormatting sqref="G49">
    <cfRule type="cellIs" dxfId="28" priority="38" operator="lessThan">
      <formula>$F$43</formula>
    </cfRule>
    <cfRule type="cellIs" dxfId="27" priority="39" operator="greaterThan">
      <formula>$G$43</formula>
    </cfRule>
  </conditionalFormatting>
  <conditionalFormatting sqref="G50">
    <cfRule type="cellIs" dxfId="26" priority="40" operator="greaterThan">
      <formula>$G$44</formula>
    </cfRule>
  </conditionalFormatting>
  <dataValidations count="11">
    <dataValidation type="decimal" operator="greaterThanOrEqual" allowBlank="1" showInputMessage="1" showErrorMessage="1" error="Power can not be 0" sqref="D8" xr:uid="{5DD5AF4C-24FC-9146-A93D-ECE94A734777}">
      <formula1>0</formula1>
    </dataValidation>
    <dataValidation type="decimal" operator="lessThan" allowBlank="1" showInputMessage="1" showErrorMessage="1" error="Isc must be greater than Imp" sqref="D5" xr:uid="{01F458A2-478D-5241-88FA-FBED20E2BDD3}">
      <formula1>D4</formula1>
    </dataValidation>
    <dataValidation type="decimal" operator="greaterThan" allowBlank="1" showInputMessage="1" showErrorMessage="1" error="Isc must be greater than Imp" sqref="D4" xr:uid="{ACAA8211-A358-A345-98B4-F93DBC33F0E3}">
      <formula1>D5</formula1>
    </dataValidation>
    <dataValidation type="decimal" operator="greaterThan" allowBlank="1" showInputMessage="1" showErrorMessage="1" error="Voc must be greater than Vmp" sqref="D2" xr:uid="{04783BD8-1171-304C-8EED-70B1ADFD3EF6}">
      <formula1>D3</formula1>
    </dataValidation>
    <dataValidation type="decimal" operator="lessThan" allowBlank="1" showInputMessage="1" showErrorMessage="1" error="Voc must be greater than Vmp" sqref="D3" xr:uid="{6A7D991C-E7E5-6B43-8934-5A792E8C9DB2}">
      <formula1>D2</formula1>
    </dataValidation>
    <dataValidation type="list" allowBlank="1" showInputMessage="1" showErrorMessage="1" sqref="D16" xr:uid="{3A5CE41D-D1A2-E24A-BACE-CC911CAD8D95}">
      <formula1>GridVoltage</formula1>
    </dataValidation>
    <dataValidation type="decimal" operator="lessThan" showInputMessage="1" showErrorMessage="1" error="Lowest Temperature must be less than Highest Temperature" sqref="D12" xr:uid="{52FE3C57-6FF0-844B-B87A-A6FA0312A82D}">
      <formula1>D13</formula1>
    </dataValidation>
    <dataValidation type="list" allowBlank="1" showInputMessage="1" showErrorMessage="1" sqref="D11" xr:uid="{F2DF7092-15E7-EE4F-A394-038DF1489150}">
      <formula1>Degrees</formula1>
    </dataValidation>
    <dataValidation type="whole" operator="greaterThan" showInputMessage="1" showErrorMessage="1" error="Highest Temperature must be greater than Lowest Temperature" sqref="D13:D14" xr:uid="{DAA6D8B5-C3DF-264C-B47F-53C68D03A60E}">
      <formula1>D12</formula1>
    </dataValidation>
    <dataValidation type="whole" operator="greaterThan" showInputMessage="1" showErrorMessage="1" error="Highest Temperature must be greater than Lowest Temperature" sqref="E41" xr:uid="{275A0714-E67B-3A44-BCD4-55D60B9FE1D4}">
      <formula1>#REF!</formula1>
    </dataValidation>
    <dataValidation type="list" allowBlank="1" showInputMessage="1" showErrorMessage="1" sqref="D17" xr:uid="{D0533FB9-4D39-624C-878D-48E9CDD2BFFA}">
      <formula1>Type</formula1>
    </dataValidation>
  </dataValidations>
  <hyperlinks>
    <hyperlink ref="E10" r:id="rId1" xr:uid="{533483A2-6D11-1A44-9A0F-2382AFA8F2BF}"/>
  </hyperlinks>
  <pageMargins left="0.7" right="0.7" top="0.75" bottom="0.75" header="0.3" footer="0.3"/>
  <pageSetup orientation="portrait" horizontalDpi="0" verticalDpi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5E2F575-0049-7240-898B-4909F5F80950}">
          <x14:formula1>
            <xm:f>'Ref Solar'!$B$2:$B$3</xm:f>
          </x14:formula1>
          <xm:sqref>D43:E43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DD4AC-DF45-1941-8889-4304E1A87754}">
  <dimension ref="A1:R51"/>
  <sheetViews>
    <sheetView zoomScale="140" zoomScaleNormal="140" workbookViewId="0">
      <selection activeCell="I19" sqref="I19"/>
    </sheetView>
  </sheetViews>
  <sheetFormatPr baseColWidth="10" defaultColWidth="11" defaultRowHeight="16" x14ac:dyDescent="0.2"/>
  <cols>
    <col min="1" max="1" width="1.33203125" customWidth="1"/>
    <col min="3" max="3" width="19.83203125" bestFit="1" customWidth="1"/>
    <col min="4" max="4" width="10.33203125" bestFit="1" customWidth="1"/>
    <col min="5" max="5" width="4.83203125" customWidth="1"/>
    <col min="6" max="6" width="6.1640625" bestFit="1" customWidth="1"/>
    <col min="7" max="7" width="10.33203125" bestFit="1" customWidth="1"/>
    <col min="8" max="8" width="11.6640625" bestFit="1" customWidth="1"/>
    <col min="12" max="12" width="13.33203125" customWidth="1"/>
    <col min="16" max="16" width="13.1640625" customWidth="1"/>
  </cols>
  <sheetData>
    <row r="1" spans="1:18" x14ac:dyDescent="0.2">
      <c r="A1" s="78"/>
      <c r="B1" s="79" t="s">
        <v>356</v>
      </c>
      <c r="C1" s="78"/>
      <c r="D1" s="78"/>
      <c r="E1" s="78"/>
      <c r="F1" s="78"/>
      <c r="G1" s="78"/>
      <c r="H1" s="78"/>
      <c r="I1" s="80"/>
      <c r="J1" s="78"/>
      <c r="K1" s="78"/>
      <c r="L1" s="81"/>
      <c r="M1" s="78"/>
      <c r="N1" s="78"/>
      <c r="O1" s="78"/>
      <c r="P1" s="78"/>
      <c r="Q1" s="78"/>
      <c r="R1" s="78"/>
    </row>
    <row r="2" spans="1:18" x14ac:dyDescent="0.2">
      <c r="A2" s="78"/>
      <c r="B2" s="209" t="s">
        <v>102</v>
      </c>
      <c r="C2" s="209"/>
      <c r="D2" s="209"/>
      <c r="E2" s="209"/>
      <c r="F2" s="209"/>
      <c r="G2" s="209"/>
      <c r="H2" s="209"/>
      <c r="I2" s="83"/>
      <c r="J2" s="78"/>
      <c r="K2" s="78"/>
      <c r="L2" s="78"/>
      <c r="M2" s="78"/>
      <c r="N2" s="78"/>
      <c r="O2" s="78"/>
      <c r="P2" s="84"/>
      <c r="Q2" s="84"/>
      <c r="R2" s="78"/>
    </row>
    <row r="3" spans="1:18" ht="17" thickBot="1" x14ac:dyDescent="0.25">
      <c r="A3" s="78"/>
      <c r="B3" s="209" t="s">
        <v>103</v>
      </c>
      <c r="C3" s="209"/>
      <c r="D3" s="209"/>
      <c r="E3" s="209"/>
      <c r="F3" s="209"/>
      <c r="G3" s="209"/>
      <c r="H3" s="209"/>
      <c r="I3" s="83"/>
      <c r="J3" s="78"/>
      <c r="K3" s="78"/>
      <c r="L3" s="78"/>
      <c r="M3" s="78"/>
      <c r="N3" s="78"/>
      <c r="O3" s="78"/>
      <c r="P3" s="84"/>
      <c r="Q3" s="84"/>
      <c r="R3" s="78"/>
    </row>
    <row r="4" spans="1:18" ht="17" thickBot="1" x14ac:dyDescent="0.25">
      <c r="A4" s="78"/>
      <c r="B4" s="139"/>
      <c r="C4" s="209" t="s">
        <v>104</v>
      </c>
      <c r="D4" s="209"/>
      <c r="E4" s="209"/>
      <c r="F4" s="209"/>
      <c r="G4" s="209"/>
      <c r="H4" s="209"/>
      <c r="I4" s="83"/>
      <c r="J4" s="78"/>
      <c r="K4" s="78"/>
      <c r="L4" s="78"/>
      <c r="M4" s="78"/>
      <c r="N4" s="78"/>
      <c r="O4" s="78"/>
      <c r="P4" s="78"/>
      <c r="Q4" s="78"/>
      <c r="R4" s="78"/>
    </row>
    <row r="5" spans="1:18" x14ac:dyDescent="0.2">
      <c r="A5" s="78"/>
      <c r="B5" s="78"/>
      <c r="C5" s="82"/>
      <c r="D5" s="82"/>
      <c r="E5" s="82"/>
      <c r="F5" s="82"/>
      <c r="G5" s="82"/>
      <c r="H5" s="82"/>
      <c r="I5" s="83"/>
      <c r="J5" s="78"/>
      <c r="K5" s="78"/>
      <c r="L5" s="78"/>
      <c r="M5" s="78"/>
      <c r="N5" s="78"/>
      <c r="O5" s="78"/>
      <c r="P5" s="78"/>
      <c r="Q5" s="78"/>
      <c r="R5" s="78"/>
    </row>
    <row r="6" spans="1:18" ht="17" thickBot="1" x14ac:dyDescent="0.25">
      <c r="A6" s="78"/>
      <c r="B6" s="86" t="s">
        <v>105</v>
      </c>
      <c r="C6" s="86" t="s">
        <v>106</v>
      </c>
      <c r="D6" s="86" t="s">
        <v>107</v>
      </c>
      <c r="E6" s="86" t="s">
        <v>108</v>
      </c>
      <c r="F6" s="86" t="s">
        <v>109</v>
      </c>
      <c r="G6" s="86" t="s">
        <v>110</v>
      </c>
      <c r="H6" s="86" t="s">
        <v>111</v>
      </c>
      <c r="I6" s="85" t="s">
        <v>112</v>
      </c>
      <c r="J6" s="78"/>
      <c r="K6" s="78"/>
      <c r="L6" s="78"/>
      <c r="M6" s="78"/>
      <c r="N6" s="78"/>
      <c r="O6" s="78"/>
      <c r="P6" s="78"/>
      <c r="Q6" s="78"/>
      <c r="R6" s="78"/>
    </row>
    <row r="7" spans="1:18" x14ac:dyDescent="0.2">
      <c r="A7" s="78"/>
      <c r="B7" s="198" t="s">
        <v>113</v>
      </c>
      <c r="C7" s="87" t="s">
        <v>114</v>
      </c>
      <c r="D7" s="88">
        <v>400</v>
      </c>
      <c r="E7" s="88">
        <v>3</v>
      </c>
      <c r="F7" s="88">
        <v>7</v>
      </c>
      <c r="G7" s="89">
        <f t="shared" ref="G7:G20" si="0">D7*E7</f>
        <v>1200</v>
      </c>
      <c r="H7" s="89">
        <f t="shared" ref="H7:H20" si="1">D7*F7</f>
        <v>2800</v>
      </c>
      <c r="I7" s="140" t="s">
        <v>115</v>
      </c>
      <c r="J7" s="78"/>
      <c r="K7" s="78"/>
      <c r="L7" s="81" t="s">
        <v>116</v>
      </c>
      <c r="M7" s="78"/>
      <c r="N7" s="78"/>
      <c r="O7" s="78"/>
      <c r="P7" s="81"/>
      <c r="Q7" s="81"/>
      <c r="R7" s="78"/>
    </row>
    <row r="8" spans="1:18" x14ac:dyDescent="0.2">
      <c r="A8" s="78"/>
      <c r="B8" s="199"/>
      <c r="C8" s="78" t="s">
        <v>117</v>
      </c>
      <c r="D8" s="91">
        <v>20</v>
      </c>
      <c r="E8" s="91">
        <v>1</v>
      </c>
      <c r="F8" s="91">
        <v>24</v>
      </c>
      <c r="G8" s="92">
        <f t="shared" si="0"/>
        <v>20</v>
      </c>
      <c r="H8" s="92">
        <f t="shared" si="1"/>
        <v>480</v>
      </c>
      <c r="I8" s="141" t="s">
        <v>115</v>
      </c>
      <c r="J8" s="78"/>
      <c r="K8" s="78"/>
      <c r="L8" s="191" t="s">
        <v>118</v>
      </c>
      <c r="M8" s="205" t="s">
        <v>119</v>
      </c>
      <c r="N8" s="206"/>
      <c r="O8" s="208"/>
      <c r="P8" s="191" t="s">
        <v>120</v>
      </c>
      <c r="Q8" s="191" t="s">
        <v>121</v>
      </c>
    </row>
    <row r="9" spans="1:18" x14ac:dyDescent="0.2">
      <c r="A9" s="78"/>
      <c r="B9" s="199"/>
      <c r="C9" s="78" t="s">
        <v>122</v>
      </c>
      <c r="D9" s="91">
        <v>78</v>
      </c>
      <c r="E9" s="91">
        <v>3</v>
      </c>
      <c r="F9" s="91">
        <v>9</v>
      </c>
      <c r="G9" s="92">
        <f t="shared" si="0"/>
        <v>234</v>
      </c>
      <c r="H9" s="92">
        <f t="shared" si="1"/>
        <v>702</v>
      </c>
      <c r="I9" s="141" t="s">
        <v>115</v>
      </c>
      <c r="J9" s="78"/>
      <c r="K9" s="78"/>
      <c r="L9" s="192" t="s">
        <v>82</v>
      </c>
      <c r="M9" s="93">
        <v>1</v>
      </c>
      <c r="N9" s="94">
        <v>2</v>
      </c>
      <c r="O9" s="94">
        <v>4</v>
      </c>
      <c r="P9" s="192"/>
      <c r="Q9" s="192"/>
    </row>
    <row r="10" spans="1:18" x14ac:dyDescent="0.2">
      <c r="A10" s="78"/>
      <c r="B10" s="199"/>
      <c r="C10" s="78" t="s">
        <v>123</v>
      </c>
      <c r="D10" s="91">
        <v>10</v>
      </c>
      <c r="E10" s="91">
        <v>2</v>
      </c>
      <c r="F10" s="91">
        <v>9</v>
      </c>
      <c r="G10" s="92">
        <f t="shared" si="0"/>
        <v>20</v>
      </c>
      <c r="H10" s="92">
        <f t="shared" si="1"/>
        <v>90</v>
      </c>
      <c r="I10" s="141" t="s">
        <v>115</v>
      </c>
      <c r="J10" s="78"/>
      <c r="K10" s="78"/>
      <c r="L10" s="95"/>
      <c r="M10" s="207" t="s">
        <v>124</v>
      </c>
      <c r="N10" s="207"/>
      <c r="O10" s="207"/>
      <c r="P10" s="96"/>
      <c r="Q10" s="95"/>
    </row>
    <row r="11" spans="1:18" x14ac:dyDescent="0.2">
      <c r="A11" s="78"/>
      <c r="B11" s="199"/>
      <c r="C11" s="78" t="s">
        <v>125</v>
      </c>
      <c r="D11" s="91">
        <v>10</v>
      </c>
      <c r="E11" s="91">
        <v>3</v>
      </c>
      <c r="F11" s="91">
        <v>4</v>
      </c>
      <c r="G11" s="92">
        <f t="shared" si="0"/>
        <v>30</v>
      </c>
      <c r="H11" s="92">
        <f t="shared" si="1"/>
        <v>40</v>
      </c>
      <c r="I11" s="141" t="s">
        <v>115</v>
      </c>
      <c r="J11" s="78"/>
      <c r="K11" s="78"/>
      <c r="L11" s="90">
        <v>3.8</v>
      </c>
      <c r="M11" s="97">
        <f t="shared" ref="M11:O13" si="2">MIN(M$46,$L11)</f>
        <v>3.8</v>
      </c>
      <c r="N11" s="97">
        <f t="shared" si="2"/>
        <v>3.8</v>
      </c>
      <c r="O11" s="97">
        <f t="shared" si="2"/>
        <v>3.8</v>
      </c>
      <c r="P11" s="98">
        <f>L11*2</f>
        <v>7.6</v>
      </c>
      <c r="Q11" s="90">
        <v>20</v>
      </c>
    </row>
    <row r="12" spans="1:18" x14ac:dyDescent="0.2">
      <c r="A12" s="78"/>
      <c r="B12" s="199"/>
      <c r="C12" s="78" t="s">
        <v>126</v>
      </c>
      <c r="D12" s="91">
        <v>200</v>
      </c>
      <c r="E12" s="91">
        <v>1</v>
      </c>
      <c r="F12" s="91">
        <v>4</v>
      </c>
      <c r="G12" s="92">
        <f t="shared" si="0"/>
        <v>200</v>
      </c>
      <c r="H12" s="92">
        <f t="shared" si="1"/>
        <v>800</v>
      </c>
      <c r="I12" s="141" t="s">
        <v>115</v>
      </c>
      <c r="J12" s="78"/>
      <c r="K12" s="78"/>
      <c r="L12" s="90">
        <v>7.6</v>
      </c>
      <c r="M12" s="97">
        <f t="shared" si="2"/>
        <v>5</v>
      </c>
      <c r="N12" s="97">
        <f t="shared" si="2"/>
        <v>7.6</v>
      </c>
      <c r="O12" s="97">
        <f t="shared" si="2"/>
        <v>7.6</v>
      </c>
      <c r="P12" s="98">
        <f>L12*2</f>
        <v>15.2</v>
      </c>
      <c r="Q12" s="90">
        <v>40</v>
      </c>
    </row>
    <row r="13" spans="1:18" x14ac:dyDescent="0.2">
      <c r="A13" s="78"/>
      <c r="B13" s="199"/>
      <c r="C13" s="78" t="s">
        <v>127</v>
      </c>
      <c r="D13" s="91">
        <v>100</v>
      </c>
      <c r="E13" s="91">
        <v>1</v>
      </c>
      <c r="F13" s="91">
        <v>3</v>
      </c>
      <c r="G13" s="92">
        <f t="shared" si="0"/>
        <v>100</v>
      </c>
      <c r="H13" s="92">
        <f t="shared" si="1"/>
        <v>300</v>
      </c>
      <c r="I13" s="141" t="s">
        <v>115</v>
      </c>
      <c r="J13" s="78"/>
      <c r="K13" s="78"/>
      <c r="L13" s="90">
        <v>11.4</v>
      </c>
      <c r="M13" s="97">
        <f t="shared" si="2"/>
        <v>5</v>
      </c>
      <c r="N13" s="97">
        <f t="shared" si="2"/>
        <v>10</v>
      </c>
      <c r="O13" s="97">
        <f t="shared" si="2"/>
        <v>10</v>
      </c>
      <c r="P13" s="98">
        <f>L13*2</f>
        <v>22.8</v>
      </c>
      <c r="Q13" s="90">
        <v>60</v>
      </c>
    </row>
    <row r="14" spans="1:18" x14ac:dyDescent="0.2">
      <c r="A14" s="78"/>
      <c r="B14" s="199"/>
      <c r="C14" s="78" t="s">
        <v>128</v>
      </c>
      <c r="D14" s="91">
        <v>8</v>
      </c>
      <c r="E14" s="91">
        <v>10</v>
      </c>
      <c r="F14" s="91">
        <v>6</v>
      </c>
      <c r="G14" s="92">
        <f t="shared" si="0"/>
        <v>80</v>
      </c>
      <c r="H14" s="92">
        <f t="shared" si="1"/>
        <v>48</v>
      </c>
      <c r="I14" s="141" t="s">
        <v>115</v>
      </c>
      <c r="J14" s="78"/>
      <c r="K14" s="78"/>
      <c r="L14" s="99"/>
      <c r="M14" s="204" t="s">
        <v>129</v>
      </c>
      <c r="N14" s="204"/>
      <c r="O14" s="204"/>
      <c r="P14" s="100"/>
      <c r="Q14" s="101"/>
    </row>
    <row r="15" spans="1:18" x14ac:dyDescent="0.2">
      <c r="A15" s="78"/>
      <c r="B15" s="199"/>
      <c r="C15" s="78" t="s">
        <v>130</v>
      </c>
      <c r="D15" s="91">
        <v>8</v>
      </c>
      <c r="E15" s="91">
        <v>20</v>
      </c>
      <c r="F15" s="91">
        <v>4</v>
      </c>
      <c r="G15" s="92">
        <f t="shared" si="0"/>
        <v>160</v>
      </c>
      <c r="H15" s="92">
        <f t="shared" si="1"/>
        <v>32</v>
      </c>
      <c r="I15" s="141" t="s">
        <v>115</v>
      </c>
      <c r="J15" s="78"/>
      <c r="K15" s="78"/>
      <c r="L15" s="102" t="s">
        <v>131</v>
      </c>
      <c r="M15" s="103">
        <f>$M$47*M9</f>
        <v>9</v>
      </c>
      <c r="N15" s="103">
        <f>$M$47*N9</f>
        <v>18</v>
      </c>
      <c r="O15" s="103">
        <f>$M$47*O9</f>
        <v>36</v>
      </c>
      <c r="P15" s="104"/>
      <c r="Q15" s="105"/>
    </row>
    <row r="16" spans="1:18" x14ac:dyDescent="0.2">
      <c r="A16" s="78"/>
      <c r="B16" s="199"/>
      <c r="C16" s="78" t="s">
        <v>132</v>
      </c>
      <c r="D16" s="91">
        <v>8</v>
      </c>
      <c r="E16" s="91">
        <v>20</v>
      </c>
      <c r="F16" s="91">
        <v>6</v>
      </c>
      <c r="G16" s="92">
        <f t="shared" si="0"/>
        <v>160</v>
      </c>
      <c r="H16" s="92">
        <f t="shared" si="1"/>
        <v>48</v>
      </c>
      <c r="I16" s="141" t="s">
        <v>115</v>
      </c>
      <c r="J16" s="78"/>
      <c r="K16" s="78"/>
      <c r="L16" s="78"/>
      <c r="M16" s="78"/>
      <c r="N16" s="78"/>
      <c r="O16" s="78"/>
      <c r="P16" s="78"/>
      <c r="Q16" s="78"/>
    </row>
    <row r="17" spans="1:17" x14ac:dyDescent="0.2">
      <c r="A17" s="78"/>
      <c r="B17" s="199"/>
      <c r="C17" s="78" t="s">
        <v>133</v>
      </c>
      <c r="D17" s="91">
        <v>400</v>
      </c>
      <c r="E17" s="91">
        <v>1</v>
      </c>
      <c r="F17" s="91">
        <v>0.1</v>
      </c>
      <c r="G17" s="92">
        <f t="shared" si="0"/>
        <v>400</v>
      </c>
      <c r="H17" s="92">
        <f t="shared" si="1"/>
        <v>40</v>
      </c>
      <c r="I17" s="141" t="s">
        <v>115</v>
      </c>
      <c r="J17" s="78"/>
      <c r="K17" s="78"/>
      <c r="L17" s="78"/>
      <c r="M17" s="78"/>
      <c r="N17" s="78"/>
      <c r="O17" s="78"/>
      <c r="P17" s="78"/>
      <c r="Q17" s="78"/>
    </row>
    <row r="18" spans="1:17" x14ac:dyDescent="0.2">
      <c r="A18" s="78"/>
      <c r="B18" s="199"/>
      <c r="C18" s="78" t="s">
        <v>134</v>
      </c>
      <c r="D18" s="91">
        <v>600</v>
      </c>
      <c r="E18" s="91">
        <v>1</v>
      </c>
      <c r="F18" s="91">
        <v>0.15</v>
      </c>
      <c r="G18" s="92">
        <f t="shared" si="0"/>
        <v>600</v>
      </c>
      <c r="H18" s="92">
        <f t="shared" si="1"/>
        <v>90</v>
      </c>
      <c r="I18" s="141" t="s">
        <v>115</v>
      </c>
      <c r="J18" s="78"/>
      <c r="K18" s="78"/>
      <c r="L18" s="81" t="s">
        <v>135</v>
      </c>
      <c r="M18" s="78"/>
      <c r="N18" s="78"/>
      <c r="O18" s="78"/>
      <c r="P18" s="78"/>
      <c r="Q18" s="78"/>
    </row>
    <row r="19" spans="1:17" x14ac:dyDescent="0.2">
      <c r="A19" s="78"/>
      <c r="B19" s="199"/>
      <c r="C19" s="78" t="s">
        <v>136</v>
      </c>
      <c r="D19" s="91">
        <v>65</v>
      </c>
      <c r="E19" s="91">
        <v>1</v>
      </c>
      <c r="F19" s="91">
        <v>5</v>
      </c>
      <c r="G19" s="92">
        <f t="shared" si="0"/>
        <v>65</v>
      </c>
      <c r="H19" s="92">
        <f t="shared" si="1"/>
        <v>325</v>
      </c>
      <c r="I19" s="141" t="s">
        <v>115</v>
      </c>
      <c r="J19" s="78"/>
      <c r="K19" s="78"/>
      <c r="L19" s="191" t="s">
        <v>118</v>
      </c>
      <c r="M19" s="205" t="s">
        <v>119</v>
      </c>
      <c r="N19" s="206"/>
      <c r="O19" s="208"/>
      <c r="P19" s="191" t="s">
        <v>120</v>
      </c>
      <c r="Q19" s="191" t="s">
        <v>121</v>
      </c>
    </row>
    <row r="20" spans="1:17" ht="17" thickBot="1" x14ac:dyDescent="0.25">
      <c r="A20" s="78"/>
      <c r="B20" s="199"/>
      <c r="C20" s="106" t="s">
        <v>137</v>
      </c>
      <c r="D20" s="107">
        <v>600</v>
      </c>
      <c r="E20" s="107">
        <v>1</v>
      </c>
      <c r="F20" s="107">
        <v>0.15</v>
      </c>
      <c r="G20" s="108">
        <f t="shared" si="0"/>
        <v>600</v>
      </c>
      <c r="H20" s="108">
        <f t="shared" si="1"/>
        <v>90</v>
      </c>
      <c r="I20" s="142" t="s">
        <v>115</v>
      </c>
      <c r="J20" s="78"/>
      <c r="K20" s="78"/>
      <c r="L20" s="192" t="s">
        <v>82</v>
      </c>
      <c r="M20" s="93">
        <v>1</v>
      </c>
      <c r="N20" s="94">
        <v>2</v>
      </c>
      <c r="O20" s="94">
        <v>4</v>
      </c>
      <c r="P20" s="192"/>
      <c r="Q20" s="192"/>
    </row>
    <row r="21" spans="1:17" x14ac:dyDescent="0.2">
      <c r="A21" s="78"/>
      <c r="B21" s="200"/>
      <c r="C21" s="109" t="s">
        <v>138</v>
      </c>
      <c r="D21" s="110"/>
      <c r="E21" s="110"/>
      <c r="F21" s="110"/>
      <c r="G21" s="111">
        <f>SUMIFS(G7:G20,$I7:$I20,"yes")</f>
        <v>3869</v>
      </c>
      <c r="H21" s="111">
        <f>SUMIFS(H7:H20,$I7:$I20,"yes")</f>
        <v>5885</v>
      </c>
      <c r="I21" s="112"/>
      <c r="J21" s="78"/>
      <c r="K21" s="78"/>
      <c r="L21" s="95"/>
      <c r="M21" s="207" t="s">
        <v>139</v>
      </c>
      <c r="N21" s="207"/>
      <c r="O21" s="207"/>
      <c r="P21" s="96"/>
      <c r="Q21" s="95"/>
    </row>
    <row r="22" spans="1:17" ht="17" thickBot="1" x14ac:dyDescent="0.25">
      <c r="A22" s="78"/>
      <c r="B22" s="114"/>
      <c r="C22" s="81"/>
      <c r="D22" s="81"/>
      <c r="E22" s="81"/>
      <c r="F22" s="81"/>
      <c r="G22" s="115"/>
      <c r="H22" s="115"/>
      <c r="I22" s="85"/>
      <c r="J22" s="78"/>
      <c r="K22" s="78"/>
      <c r="L22" s="90">
        <v>3.8</v>
      </c>
      <c r="M22" s="113">
        <f t="shared" ref="M22:O24" si="3">M11*1000/$G$47</f>
        <v>0.67031222437819726</v>
      </c>
      <c r="N22" s="113">
        <f t="shared" si="3"/>
        <v>0.67031222437819726</v>
      </c>
      <c r="O22" s="113">
        <f t="shared" si="3"/>
        <v>0.67031222437819726</v>
      </c>
      <c r="P22" s="98">
        <f>L22*2</f>
        <v>7.6</v>
      </c>
      <c r="Q22" s="90">
        <v>20</v>
      </c>
    </row>
    <row r="23" spans="1:17" x14ac:dyDescent="0.2">
      <c r="A23" s="78"/>
      <c r="B23" s="198" t="s">
        <v>140</v>
      </c>
      <c r="C23" s="87" t="s">
        <v>141</v>
      </c>
      <c r="D23" s="88">
        <v>400</v>
      </c>
      <c r="E23" s="88">
        <v>1</v>
      </c>
      <c r="F23" s="88">
        <v>6</v>
      </c>
      <c r="G23" s="89">
        <f>D23*E23</f>
        <v>400</v>
      </c>
      <c r="H23" s="89">
        <f>D23*F23</f>
        <v>2400</v>
      </c>
      <c r="I23" s="140" t="s">
        <v>142</v>
      </c>
      <c r="J23" s="78"/>
      <c r="K23" s="78"/>
      <c r="L23" s="90">
        <v>7.6</v>
      </c>
      <c r="M23" s="116">
        <f t="shared" si="3"/>
        <v>0.88198976891868053</v>
      </c>
      <c r="N23" s="116">
        <f t="shared" si="3"/>
        <v>1.3406244487563945</v>
      </c>
      <c r="O23" s="116">
        <f t="shared" si="3"/>
        <v>1.3406244487563945</v>
      </c>
      <c r="P23" s="98">
        <f>L23*2</f>
        <v>15.2</v>
      </c>
      <c r="Q23" s="90">
        <v>40</v>
      </c>
    </row>
    <row r="24" spans="1:17" x14ac:dyDescent="0.2">
      <c r="A24" s="78"/>
      <c r="B24" s="199"/>
      <c r="C24" s="78" t="s">
        <v>143</v>
      </c>
      <c r="D24" s="91">
        <v>1200</v>
      </c>
      <c r="E24" s="91">
        <v>1</v>
      </c>
      <c r="F24" s="91">
        <v>3</v>
      </c>
      <c r="G24" s="92">
        <f>D24*E24</f>
        <v>1200</v>
      </c>
      <c r="H24" s="92">
        <f>D24*F24</f>
        <v>3600</v>
      </c>
      <c r="I24" s="141" t="s">
        <v>115</v>
      </c>
      <c r="J24" s="78"/>
      <c r="K24" s="78"/>
      <c r="L24" s="90">
        <v>11.4</v>
      </c>
      <c r="M24" s="116">
        <f t="shared" si="3"/>
        <v>0.88198976891868053</v>
      </c>
      <c r="N24" s="116">
        <f t="shared" si="3"/>
        <v>1.7639795378373611</v>
      </c>
      <c r="O24" s="116">
        <f t="shared" si="3"/>
        <v>1.7639795378373611</v>
      </c>
      <c r="P24" s="98">
        <f>L24*2</f>
        <v>22.8</v>
      </c>
      <c r="Q24" s="90">
        <v>60</v>
      </c>
    </row>
    <row r="25" spans="1:17" x14ac:dyDescent="0.2">
      <c r="A25" s="78"/>
      <c r="B25" s="199"/>
      <c r="C25" s="78" t="s">
        <v>144</v>
      </c>
      <c r="D25" s="91">
        <v>600</v>
      </c>
      <c r="E25" s="91">
        <v>1</v>
      </c>
      <c r="F25" s="91">
        <v>8</v>
      </c>
      <c r="G25" s="92">
        <f>D25*E25</f>
        <v>600</v>
      </c>
      <c r="H25" s="92">
        <f>D25*F25</f>
        <v>4800</v>
      </c>
      <c r="I25" s="141" t="s">
        <v>115</v>
      </c>
      <c r="J25" s="78"/>
      <c r="K25" s="78"/>
      <c r="L25" s="99"/>
      <c r="M25" s="204" t="s">
        <v>145</v>
      </c>
      <c r="N25" s="204"/>
      <c r="O25" s="204"/>
      <c r="P25" s="100"/>
      <c r="Q25" s="101"/>
    </row>
    <row r="26" spans="1:17" x14ac:dyDescent="0.2">
      <c r="A26" s="78"/>
      <c r="B26" s="199"/>
      <c r="C26" s="78" t="s">
        <v>146</v>
      </c>
      <c r="D26" s="91">
        <v>600</v>
      </c>
      <c r="E26" s="91">
        <v>1</v>
      </c>
      <c r="F26" s="91">
        <v>6</v>
      </c>
      <c r="G26" s="92">
        <f>D26*E26</f>
        <v>600</v>
      </c>
      <c r="H26" s="92">
        <f>D26*F26</f>
        <v>3600</v>
      </c>
      <c r="I26" s="141" t="s">
        <v>142</v>
      </c>
      <c r="J26" s="78"/>
      <c r="K26" s="78"/>
      <c r="L26" s="90" t="s">
        <v>147</v>
      </c>
      <c r="M26" s="117">
        <f>M27*24</f>
        <v>15.12075603780189</v>
      </c>
      <c r="N26" s="117">
        <f t="shared" ref="N26:O26" si="4">N27*24</f>
        <v>30.241512075603779</v>
      </c>
      <c r="O26" s="117">
        <f t="shared" si="4"/>
        <v>60.483024151207559</v>
      </c>
      <c r="P26" s="118"/>
      <c r="Q26" s="118"/>
    </row>
    <row r="27" spans="1:17" ht="17" thickBot="1" x14ac:dyDescent="0.25">
      <c r="A27" s="78"/>
      <c r="B27" s="199"/>
      <c r="C27" s="106" t="s">
        <v>148</v>
      </c>
      <c r="D27" s="107">
        <v>500</v>
      </c>
      <c r="E27" s="107">
        <v>1</v>
      </c>
      <c r="F27" s="107">
        <v>6</v>
      </c>
      <c r="G27" s="108">
        <f>D27*E27</f>
        <v>500</v>
      </c>
      <c r="H27" s="108">
        <f>D27*F27</f>
        <v>3000</v>
      </c>
      <c r="I27" s="142" t="s">
        <v>142</v>
      </c>
      <c r="J27" s="78"/>
      <c r="K27" s="78"/>
      <c r="L27" s="102" t="s">
        <v>149</v>
      </c>
      <c r="M27" s="119">
        <f>M15/($H$47/1000)</f>
        <v>0.6300315015750787</v>
      </c>
      <c r="N27" s="119">
        <f>N15/($H$47/1000)</f>
        <v>1.2600630031501574</v>
      </c>
      <c r="O27" s="119">
        <f>O15/($H$47/1000)</f>
        <v>2.5201260063003148</v>
      </c>
      <c r="P27" s="104"/>
      <c r="Q27" s="105"/>
    </row>
    <row r="28" spans="1:17" x14ac:dyDescent="0.2">
      <c r="A28" s="78"/>
      <c r="B28" s="200"/>
      <c r="C28" s="109" t="s">
        <v>150</v>
      </c>
      <c r="D28" s="110"/>
      <c r="E28" s="110"/>
      <c r="F28" s="110"/>
      <c r="G28" s="111">
        <f>SUMIFS(G23:G27,$I23:$I27,"yes")</f>
        <v>1800</v>
      </c>
      <c r="H28" s="111">
        <f>SUMIFS(H23:H27,$I23:$I27,"yes")</f>
        <v>8400</v>
      </c>
      <c r="I28" s="112"/>
      <c r="J28" s="78"/>
      <c r="K28" s="78"/>
      <c r="L28" s="78"/>
      <c r="M28" s="78"/>
      <c r="N28" s="78"/>
      <c r="O28" s="78"/>
      <c r="P28" s="78"/>
      <c r="Q28" s="78"/>
    </row>
    <row r="29" spans="1:17" ht="17" thickBot="1" x14ac:dyDescent="0.25">
      <c r="A29" s="78"/>
      <c r="B29" s="114"/>
      <c r="C29" s="78"/>
      <c r="D29" s="78"/>
      <c r="E29" s="78"/>
      <c r="F29" s="78"/>
      <c r="G29" s="78"/>
      <c r="H29" s="78"/>
      <c r="I29" s="80"/>
      <c r="J29" s="78"/>
      <c r="K29" s="78"/>
      <c r="L29" s="78"/>
      <c r="M29" s="78"/>
      <c r="N29" s="78"/>
      <c r="O29" s="78"/>
      <c r="P29" s="78"/>
      <c r="Q29" s="78"/>
    </row>
    <row r="30" spans="1:17" ht="17" thickBot="1" x14ac:dyDescent="0.25">
      <c r="A30" s="78"/>
      <c r="B30" s="198" t="s">
        <v>151</v>
      </c>
      <c r="C30" s="87" t="s">
        <v>357</v>
      </c>
      <c r="D30" s="88">
        <v>1000</v>
      </c>
      <c r="E30" s="88">
        <v>1</v>
      </c>
      <c r="F30" s="88">
        <v>8</v>
      </c>
      <c r="G30" s="89">
        <f t="shared" ref="G30:G41" si="5">D30*E30</f>
        <v>1000</v>
      </c>
      <c r="H30" s="89">
        <f t="shared" ref="H30:H41" si="6">D30*F30</f>
        <v>8000</v>
      </c>
      <c r="I30" s="140" t="s">
        <v>142</v>
      </c>
      <c r="J30" s="78"/>
      <c r="K30" s="78"/>
      <c r="L30" s="81" t="s">
        <v>152</v>
      </c>
      <c r="M30" s="78"/>
      <c r="N30" s="78"/>
      <c r="O30" s="78"/>
      <c r="P30" s="78"/>
      <c r="Q30" s="78"/>
    </row>
    <row r="31" spans="1:17" ht="17" thickBot="1" x14ac:dyDescent="0.25">
      <c r="A31" s="78"/>
      <c r="B31" s="199"/>
      <c r="C31" s="78" t="s">
        <v>358</v>
      </c>
      <c r="D31" s="91">
        <v>2000</v>
      </c>
      <c r="E31" s="91">
        <v>1</v>
      </c>
      <c r="F31" s="91">
        <v>8</v>
      </c>
      <c r="G31" s="92">
        <f t="shared" si="5"/>
        <v>2000</v>
      </c>
      <c r="H31" s="92">
        <f t="shared" si="6"/>
        <v>16000</v>
      </c>
      <c r="I31" s="141" t="s">
        <v>115</v>
      </c>
      <c r="J31" s="78"/>
      <c r="K31" s="78"/>
      <c r="L31" s="120" t="s">
        <v>153</v>
      </c>
      <c r="M31" s="139">
        <v>10</v>
      </c>
      <c r="N31" s="78"/>
      <c r="O31" s="78"/>
      <c r="P31" s="78"/>
      <c r="Q31" s="78"/>
    </row>
    <row r="32" spans="1:17" x14ac:dyDescent="0.2">
      <c r="A32" s="78"/>
      <c r="B32" s="199"/>
      <c r="C32" s="78" t="s">
        <v>154</v>
      </c>
      <c r="D32" s="91">
        <v>700</v>
      </c>
      <c r="E32" s="91">
        <v>1</v>
      </c>
      <c r="F32" s="91">
        <v>8</v>
      </c>
      <c r="G32" s="92">
        <f t="shared" si="5"/>
        <v>700</v>
      </c>
      <c r="H32" s="92">
        <f t="shared" si="6"/>
        <v>5600</v>
      </c>
      <c r="I32" s="141" t="s">
        <v>142</v>
      </c>
      <c r="J32" s="78"/>
      <c r="K32" s="78"/>
      <c r="L32" s="78"/>
      <c r="M32" s="78"/>
      <c r="N32" s="78"/>
      <c r="O32" s="78"/>
      <c r="P32" s="78"/>
      <c r="Q32" s="78"/>
    </row>
    <row r="33" spans="1:17" ht="16" customHeight="1" x14ac:dyDescent="0.2">
      <c r="A33" s="78"/>
      <c r="B33" s="199"/>
      <c r="C33" s="78" t="s">
        <v>155</v>
      </c>
      <c r="D33" s="91">
        <f>700*4</f>
        <v>2800</v>
      </c>
      <c r="E33" s="91">
        <v>1</v>
      </c>
      <c r="F33" s="91">
        <v>8</v>
      </c>
      <c r="G33" s="92">
        <f t="shared" si="5"/>
        <v>2800</v>
      </c>
      <c r="H33" s="92">
        <f t="shared" si="6"/>
        <v>22400</v>
      </c>
      <c r="I33" s="141" t="s">
        <v>142</v>
      </c>
      <c r="J33" s="78"/>
      <c r="K33" s="78"/>
      <c r="L33" s="191" t="s">
        <v>156</v>
      </c>
      <c r="M33" s="205" t="s">
        <v>119</v>
      </c>
      <c r="N33" s="206"/>
      <c r="O33" s="206"/>
      <c r="P33" s="191" t="s">
        <v>157</v>
      </c>
      <c r="Q33" s="191" t="s">
        <v>158</v>
      </c>
    </row>
    <row r="34" spans="1:17" x14ac:dyDescent="0.2">
      <c r="A34" s="78"/>
      <c r="B34" s="199"/>
      <c r="C34" s="78" t="s">
        <v>159</v>
      </c>
      <c r="D34" s="91">
        <v>1500</v>
      </c>
      <c r="E34" s="91">
        <v>1</v>
      </c>
      <c r="F34" s="91">
        <v>7</v>
      </c>
      <c r="G34" s="92">
        <f t="shared" si="5"/>
        <v>1500</v>
      </c>
      <c r="H34" s="92">
        <f t="shared" si="6"/>
        <v>10500</v>
      </c>
      <c r="I34" s="141" t="s">
        <v>115</v>
      </c>
      <c r="J34" s="78"/>
      <c r="K34" s="78"/>
      <c r="L34" s="192"/>
      <c r="M34" s="93">
        <v>1</v>
      </c>
      <c r="N34" s="94">
        <v>2</v>
      </c>
      <c r="O34" s="94">
        <v>4</v>
      </c>
      <c r="P34" s="192"/>
      <c r="Q34" s="192"/>
    </row>
    <row r="35" spans="1:17" x14ac:dyDescent="0.2">
      <c r="A35" s="78"/>
      <c r="B35" s="199"/>
      <c r="C35" s="78" t="s">
        <v>160</v>
      </c>
      <c r="D35" s="91">
        <v>5000</v>
      </c>
      <c r="E35" s="91">
        <v>1</v>
      </c>
      <c r="F35" s="91">
        <v>7</v>
      </c>
      <c r="G35" s="92">
        <f t="shared" si="5"/>
        <v>5000</v>
      </c>
      <c r="H35" s="92">
        <f t="shared" si="6"/>
        <v>35000</v>
      </c>
      <c r="I35" s="141" t="s">
        <v>142</v>
      </c>
      <c r="J35" s="78"/>
      <c r="K35" s="78"/>
      <c r="L35" s="121"/>
      <c r="M35" s="193" t="s">
        <v>161</v>
      </c>
      <c r="N35" s="194"/>
      <c r="O35" s="194"/>
      <c r="P35" s="122"/>
      <c r="Q35" s="195" t="s">
        <v>162</v>
      </c>
    </row>
    <row r="36" spans="1:17" x14ac:dyDescent="0.2">
      <c r="A36" s="78"/>
      <c r="B36" s="199"/>
      <c r="C36" s="78" t="s">
        <v>163</v>
      </c>
      <c r="D36" s="91">
        <v>4500</v>
      </c>
      <c r="E36" s="91">
        <v>1</v>
      </c>
      <c r="F36" s="91">
        <v>3</v>
      </c>
      <c r="G36" s="92">
        <f t="shared" si="5"/>
        <v>4500</v>
      </c>
      <c r="H36" s="92">
        <f t="shared" si="6"/>
        <v>13500</v>
      </c>
      <c r="I36" s="141" t="s">
        <v>142</v>
      </c>
      <c r="J36" s="78"/>
      <c r="K36" s="78"/>
      <c r="L36" s="123">
        <v>0</v>
      </c>
      <c r="M36" s="113">
        <f t="shared" ref="M36:O41" si="7">($P36+M$15)/($H$47/1000)</f>
        <v>0.6300315015750787</v>
      </c>
      <c r="N36" s="113">
        <f t="shared" si="7"/>
        <v>1.2600630031501574</v>
      </c>
      <c r="O36" s="113">
        <f t="shared" si="7"/>
        <v>2.5201260063003148</v>
      </c>
      <c r="P36" s="124">
        <f t="shared" ref="P36:P41" si="8">M$31*L36*24</f>
        <v>0</v>
      </c>
      <c r="Q36" s="196"/>
    </row>
    <row r="37" spans="1:17" x14ac:dyDescent="0.2">
      <c r="A37" s="78"/>
      <c r="B37" s="199"/>
      <c r="C37" s="78" t="s">
        <v>164</v>
      </c>
      <c r="D37" s="91">
        <v>5000</v>
      </c>
      <c r="E37" s="91">
        <v>1</v>
      </c>
      <c r="F37" s="91">
        <v>2</v>
      </c>
      <c r="G37" s="92">
        <f t="shared" si="5"/>
        <v>5000</v>
      </c>
      <c r="H37" s="92">
        <f t="shared" si="6"/>
        <v>10000</v>
      </c>
      <c r="I37" s="141" t="s">
        <v>115</v>
      </c>
      <c r="J37" s="78"/>
      <c r="K37" s="78"/>
      <c r="L37" s="123">
        <v>0.05</v>
      </c>
      <c r="M37" s="113">
        <f t="shared" si="7"/>
        <v>1.4700735036751837</v>
      </c>
      <c r="N37" s="113">
        <f t="shared" si="7"/>
        <v>2.1001050052502626</v>
      </c>
      <c r="O37" s="113">
        <f t="shared" si="7"/>
        <v>3.3601680084004202</v>
      </c>
      <c r="P37" s="124">
        <f t="shared" si="8"/>
        <v>12</v>
      </c>
      <c r="Q37" s="196"/>
    </row>
    <row r="38" spans="1:17" x14ac:dyDescent="0.2">
      <c r="A38" s="78"/>
      <c r="B38" s="199"/>
      <c r="C38" s="78" t="s">
        <v>165</v>
      </c>
      <c r="D38" s="91">
        <v>4000</v>
      </c>
      <c r="E38" s="91">
        <v>1</v>
      </c>
      <c r="F38" s="91">
        <v>2</v>
      </c>
      <c r="G38" s="92">
        <f t="shared" si="5"/>
        <v>4000</v>
      </c>
      <c r="H38" s="92">
        <f t="shared" si="6"/>
        <v>8000</v>
      </c>
      <c r="I38" s="141" t="s">
        <v>142</v>
      </c>
      <c r="J38" s="78"/>
      <c r="K38" s="78"/>
      <c r="L38" s="123">
        <v>0.1</v>
      </c>
      <c r="M38" s="113">
        <f t="shared" si="7"/>
        <v>2.3101155057752889</v>
      </c>
      <c r="N38" s="113">
        <f t="shared" si="7"/>
        <v>2.9401470073503675</v>
      </c>
      <c r="O38" s="113">
        <f t="shared" si="7"/>
        <v>4.2002100105005251</v>
      </c>
      <c r="P38" s="124">
        <f t="shared" si="8"/>
        <v>24</v>
      </c>
      <c r="Q38" s="196"/>
    </row>
    <row r="39" spans="1:17" x14ac:dyDescent="0.2">
      <c r="A39" s="78"/>
      <c r="B39" s="199"/>
      <c r="C39" s="78" t="s">
        <v>166</v>
      </c>
      <c r="D39" s="91">
        <v>1000</v>
      </c>
      <c r="E39" s="91">
        <v>1</v>
      </c>
      <c r="F39" s="91">
        <v>6</v>
      </c>
      <c r="G39" s="92">
        <f t="shared" si="5"/>
        <v>1000</v>
      </c>
      <c r="H39" s="92">
        <f t="shared" si="6"/>
        <v>6000</v>
      </c>
      <c r="I39" s="141" t="s">
        <v>142</v>
      </c>
      <c r="J39" s="78"/>
      <c r="K39" s="78"/>
      <c r="L39" s="123">
        <v>0.15</v>
      </c>
      <c r="M39" s="113">
        <f t="shared" si="7"/>
        <v>3.1501575078753938</v>
      </c>
      <c r="N39" s="113">
        <f t="shared" si="7"/>
        <v>3.7801890094504724</v>
      </c>
      <c r="O39" s="113">
        <f t="shared" si="7"/>
        <v>5.0402520126006296</v>
      </c>
      <c r="P39" s="124">
        <f t="shared" si="8"/>
        <v>36</v>
      </c>
      <c r="Q39" s="196"/>
    </row>
    <row r="40" spans="1:17" x14ac:dyDescent="0.2">
      <c r="A40" s="78"/>
      <c r="B40" s="199"/>
      <c r="C40" s="78" t="s">
        <v>143</v>
      </c>
      <c r="D40" s="91">
        <v>1200</v>
      </c>
      <c r="E40" s="91">
        <v>1</v>
      </c>
      <c r="F40" s="91">
        <v>3</v>
      </c>
      <c r="G40" s="92">
        <f t="shared" si="5"/>
        <v>1200</v>
      </c>
      <c r="H40" s="92">
        <f t="shared" si="6"/>
        <v>3600</v>
      </c>
      <c r="I40" s="141" t="s">
        <v>142</v>
      </c>
      <c r="J40" s="78"/>
      <c r="K40" s="78"/>
      <c r="L40" s="123">
        <v>0.2</v>
      </c>
      <c r="M40" s="113">
        <f t="shared" si="7"/>
        <v>3.9901995099754988</v>
      </c>
      <c r="N40" s="113">
        <f t="shared" si="7"/>
        <v>4.6202310115505778</v>
      </c>
      <c r="O40" s="113">
        <f t="shared" si="7"/>
        <v>5.880294014700735</v>
      </c>
      <c r="P40" s="124">
        <f t="shared" si="8"/>
        <v>48</v>
      </c>
      <c r="Q40" s="196"/>
    </row>
    <row r="41" spans="1:17" ht="17" thickBot="1" x14ac:dyDescent="0.25">
      <c r="A41" s="78"/>
      <c r="B41" s="199"/>
      <c r="C41" s="106" t="s">
        <v>167</v>
      </c>
      <c r="D41" s="107">
        <v>7200</v>
      </c>
      <c r="E41" s="107">
        <v>1</v>
      </c>
      <c r="F41" s="107">
        <v>10</v>
      </c>
      <c r="G41" s="108">
        <f t="shared" si="5"/>
        <v>7200</v>
      </c>
      <c r="H41" s="108">
        <f t="shared" si="6"/>
        <v>72000</v>
      </c>
      <c r="I41" s="142" t="s">
        <v>142</v>
      </c>
      <c r="J41" s="78"/>
      <c r="K41" s="78"/>
      <c r="L41" s="125">
        <v>0.25</v>
      </c>
      <c r="M41" s="126">
        <f t="shared" si="7"/>
        <v>4.8302415120756041</v>
      </c>
      <c r="N41" s="126">
        <f t="shared" si="7"/>
        <v>5.4602730136506823</v>
      </c>
      <c r="O41" s="126">
        <f t="shared" si="7"/>
        <v>6.7203360168008404</v>
      </c>
      <c r="P41" s="127">
        <f t="shared" si="8"/>
        <v>60</v>
      </c>
      <c r="Q41" s="197"/>
    </row>
    <row r="42" spans="1:17" x14ac:dyDescent="0.2">
      <c r="A42" s="78"/>
      <c r="B42" s="200"/>
      <c r="C42" s="109" t="s">
        <v>168</v>
      </c>
      <c r="D42" s="110"/>
      <c r="E42" s="110"/>
      <c r="F42" s="110"/>
      <c r="G42" s="111">
        <f>SUMIFS(G30:G41,$I30:$I41,"yes")</f>
        <v>8500</v>
      </c>
      <c r="H42" s="111">
        <f>SUMIFS(H30:H41,$I30:$I41,"yes")</f>
        <v>36500</v>
      </c>
      <c r="I42" s="112"/>
      <c r="J42" s="78"/>
      <c r="K42" s="78"/>
      <c r="L42" s="78"/>
      <c r="M42" s="78"/>
      <c r="N42" s="78"/>
      <c r="O42" s="78"/>
      <c r="P42" s="78"/>
      <c r="Q42" s="78"/>
    </row>
    <row r="43" spans="1:17" ht="17" thickBot="1" x14ac:dyDescent="0.25">
      <c r="A43" s="78"/>
      <c r="B43" s="78"/>
      <c r="C43" s="78"/>
      <c r="D43" s="78"/>
      <c r="E43" s="78"/>
      <c r="F43" s="78"/>
      <c r="G43" s="78"/>
      <c r="H43" s="78"/>
      <c r="I43" s="80"/>
      <c r="J43" s="78"/>
      <c r="K43" s="78"/>
      <c r="L43" s="81" t="s">
        <v>169</v>
      </c>
      <c r="M43" s="84"/>
      <c r="N43" s="84"/>
      <c r="O43" s="84"/>
      <c r="P43" s="78"/>
      <c r="Q43" s="78"/>
    </row>
    <row r="44" spans="1:17" x14ac:dyDescent="0.2">
      <c r="A44" s="78"/>
      <c r="B44" s="198" t="s">
        <v>170</v>
      </c>
      <c r="C44" s="87" t="str">
        <f>C21</f>
        <v>Tier 1 Total</v>
      </c>
      <c r="D44" s="87"/>
      <c r="E44" s="87"/>
      <c r="F44" s="87"/>
      <c r="G44" s="89">
        <f>G21</f>
        <v>3869</v>
      </c>
      <c r="H44" s="89">
        <f>H21</f>
        <v>5885</v>
      </c>
      <c r="I44" s="140" t="s">
        <v>115</v>
      </c>
      <c r="J44" s="78"/>
      <c r="K44" s="78"/>
      <c r="L44" s="128"/>
      <c r="M44" s="201" t="s">
        <v>119</v>
      </c>
      <c r="N44" s="202"/>
      <c r="O44" s="203"/>
      <c r="P44" s="78"/>
      <c r="Q44" s="85" t="s">
        <v>171</v>
      </c>
    </row>
    <row r="45" spans="1:17" x14ac:dyDescent="0.2">
      <c r="A45" s="78"/>
      <c r="B45" s="199"/>
      <c r="C45" s="78" t="str">
        <f>C28</f>
        <v>Tier 2 Total</v>
      </c>
      <c r="D45" s="78"/>
      <c r="E45" s="78"/>
      <c r="F45" s="78"/>
      <c r="G45" s="92">
        <f>G28</f>
        <v>1800</v>
      </c>
      <c r="H45" s="92">
        <f>H28</f>
        <v>8400</v>
      </c>
      <c r="I45" s="141" t="s">
        <v>115</v>
      </c>
      <c r="J45" s="78"/>
      <c r="K45" s="78"/>
      <c r="L45" s="129"/>
      <c r="M45" s="130">
        <v>1</v>
      </c>
      <c r="N45" s="131">
        <v>2</v>
      </c>
      <c r="O45" s="132">
        <v>4</v>
      </c>
      <c r="P45" s="78"/>
      <c r="Q45" s="80" t="s">
        <v>115</v>
      </c>
    </row>
    <row r="46" spans="1:17" ht="17" thickBot="1" x14ac:dyDescent="0.25">
      <c r="A46" s="78"/>
      <c r="B46" s="199"/>
      <c r="C46" s="106" t="str">
        <f>C42</f>
        <v>Tier 3 Total</v>
      </c>
      <c r="D46" s="106"/>
      <c r="E46" s="106"/>
      <c r="F46" s="106"/>
      <c r="G46" s="108">
        <f>G42</f>
        <v>8500</v>
      </c>
      <c r="H46" s="108">
        <f>H42</f>
        <v>36500</v>
      </c>
      <c r="I46" s="142" t="s">
        <v>142</v>
      </c>
      <c r="J46" s="78"/>
      <c r="K46" s="78"/>
      <c r="L46" s="133" t="s">
        <v>172</v>
      </c>
      <c r="M46" s="134">
        <v>5</v>
      </c>
      <c r="N46" s="78">
        <v>10</v>
      </c>
      <c r="O46" s="135">
        <v>10</v>
      </c>
      <c r="P46" s="78"/>
      <c r="Q46" s="80" t="s">
        <v>142</v>
      </c>
    </row>
    <row r="47" spans="1:17" x14ac:dyDescent="0.2">
      <c r="A47" s="78"/>
      <c r="B47" s="200"/>
      <c r="C47" s="109" t="s">
        <v>173</v>
      </c>
      <c r="D47" s="110"/>
      <c r="E47" s="110"/>
      <c r="F47" s="110"/>
      <c r="G47" s="111">
        <f>SUMIFS(G44:G46,$I44:$I46,"yes")</f>
        <v>5669</v>
      </c>
      <c r="H47" s="111">
        <f>SUMIFS(H44:H46,$I44:$I46,"yes")</f>
        <v>14285</v>
      </c>
      <c r="I47" s="112"/>
      <c r="J47" s="78"/>
      <c r="K47" s="78"/>
      <c r="L47" s="136" t="s">
        <v>174</v>
      </c>
      <c r="M47" s="137">
        <v>9</v>
      </c>
      <c r="N47" s="106">
        <f>N45*$M$47</f>
        <v>18</v>
      </c>
      <c r="O47" s="138">
        <f>O45*$M$47</f>
        <v>36</v>
      </c>
      <c r="P47" s="78"/>
      <c r="Q47" s="78"/>
    </row>
    <row r="48" spans="1:17" x14ac:dyDescent="0.2">
      <c r="A48" s="78"/>
      <c r="J48" s="78"/>
      <c r="K48" s="78"/>
      <c r="L48" s="78"/>
      <c r="M48" s="78"/>
      <c r="N48" s="78"/>
      <c r="O48" s="78"/>
      <c r="P48" s="78"/>
      <c r="Q48" s="78"/>
    </row>
    <row r="49" spans="1:18" x14ac:dyDescent="0.2">
      <c r="A49" s="78"/>
      <c r="B49" s="78"/>
      <c r="C49" s="78"/>
      <c r="D49" s="78"/>
      <c r="E49" s="78"/>
      <c r="F49" s="78"/>
      <c r="G49" s="78"/>
      <c r="H49" s="78"/>
      <c r="I49" s="80"/>
      <c r="J49" s="78"/>
      <c r="K49" s="78"/>
      <c r="L49" s="78"/>
      <c r="M49" s="78"/>
      <c r="N49" s="78"/>
      <c r="O49" s="78"/>
      <c r="P49" s="78"/>
      <c r="Q49" s="78"/>
    </row>
    <row r="50" spans="1:18" x14ac:dyDescent="0.2">
      <c r="A50" s="78"/>
      <c r="B50" s="174" t="str">
        <f>'Solar Sizing'!A98</f>
        <v>PN: 002-00198-00 | version 1.0</v>
      </c>
      <c r="C50" s="78"/>
      <c r="D50" s="78"/>
      <c r="E50" s="78"/>
      <c r="F50" s="78"/>
      <c r="G50" s="78"/>
      <c r="H50" s="78"/>
      <c r="I50" s="80"/>
      <c r="J50" s="78"/>
      <c r="K50" s="78"/>
      <c r="L50" s="78"/>
      <c r="M50" s="78"/>
      <c r="N50" s="78"/>
      <c r="O50" s="78"/>
      <c r="P50" s="78"/>
      <c r="Q50" s="78"/>
      <c r="R50" s="78"/>
    </row>
    <row r="51" spans="1:18" x14ac:dyDescent="0.2">
      <c r="A51" s="78"/>
      <c r="B51" s="78"/>
      <c r="C51" s="78"/>
      <c r="D51" s="78"/>
      <c r="E51" s="78"/>
      <c r="F51" s="78"/>
      <c r="G51" s="78"/>
      <c r="H51" s="78"/>
      <c r="I51" s="80"/>
      <c r="J51" s="78"/>
      <c r="K51" s="78"/>
      <c r="R51" s="78"/>
    </row>
  </sheetData>
  <sheetProtection algorithmName="SHA-512" hashValue="vtvmgjaBcK7lGg8L9GhY1irbIlxeDGXMKs0YNIV6bp+0vE8Z86FKg86WXIRRzrzz2vqQmpMFBsguZPZqV40QbQ==" saltValue="y6NzRtEfRz+KiAgiHfNzeg==" spinCount="100000" sheet="1" formatCells="0"/>
  <mergeCells count="26">
    <mergeCell ref="M21:O21"/>
    <mergeCell ref="B2:H2"/>
    <mergeCell ref="B3:H3"/>
    <mergeCell ref="C4:H4"/>
    <mergeCell ref="B7:B21"/>
    <mergeCell ref="L8:L9"/>
    <mergeCell ref="P8:P9"/>
    <mergeCell ref="Q8:Q9"/>
    <mergeCell ref="M10:O10"/>
    <mergeCell ref="M14:O14"/>
    <mergeCell ref="L19:L20"/>
    <mergeCell ref="M19:O19"/>
    <mergeCell ref="P19:P20"/>
    <mergeCell ref="Q19:Q20"/>
    <mergeCell ref="M8:O8"/>
    <mergeCell ref="B23:B28"/>
    <mergeCell ref="M25:O25"/>
    <mergeCell ref="B30:B42"/>
    <mergeCell ref="L33:L34"/>
    <mergeCell ref="M33:O33"/>
    <mergeCell ref="Q33:Q34"/>
    <mergeCell ref="M35:O35"/>
    <mergeCell ref="Q35:Q41"/>
    <mergeCell ref="B44:B47"/>
    <mergeCell ref="M44:O44"/>
    <mergeCell ref="P33:P34"/>
  </mergeCells>
  <conditionalFormatting sqref="B7:I21">
    <cfRule type="expression" dxfId="25" priority="5">
      <formula>$I$44="No"</formula>
    </cfRule>
  </conditionalFormatting>
  <conditionalFormatting sqref="B23:I28">
    <cfRule type="expression" dxfId="24" priority="6">
      <formula>$I$45="No"</formula>
    </cfRule>
  </conditionalFormatting>
  <conditionalFormatting sqref="B30:I42">
    <cfRule type="expression" dxfId="23" priority="1">
      <formula>$I$46="No"</formula>
    </cfRule>
  </conditionalFormatting>
  <conditionalFormatting sqref="C7:I12 C13:G13 H13:I19 C14:F16 G14:G19 C18:F19">
    <cfRule type="expression" dxfId="22" priority="44">
      <formula>$I7="No"</formula>
    </cfRule>
  </conditionalFormatting>
  <conditionalFormatting sqref="C20:I47">
    <cfRule type="expression" dxfId="21" priority="2">
      <formula>$I20="No"</formula>
    </cfRule>
  </conditionalFormatting>
  <conditionalFormatting sqref="M22:O24">
    <cfRule type="expression" dxfId="20" priority="3" stopIfTrue="1">
      <formula>M22&gt;=1.2</formula>
    </cfRule>
    <cfRule type="expression" dxfId="19" priority="4" stopIfTrue="1">
      <formula>AND(M22&gt;=1,M22&lt;1.2)</formula>
    </cfRule>
    <cfRule type="expression" dxfId="18" priority="9">
      <formula>M22&lt;1</formula>
    </cfRule>
  </conditionalFormatting>
  <dataValidations count="2">
    <dataValidation type="list" allowBlank="1" showInputMessage="1" showErrorMessage="1" sqref="I47 I21:I22 I28:I29 I42:I43" xr:uid="{4A9D5EE6-9790-A445-94DD-8BB8F0D7CB0E}">
      <formula1>$G$52:$G$53</formula1>
    </dataValidation>
    <dataValidation type="list" allowBlank="1" showInputMessage="1" showErrorMessage="1" sqref="I7:I20 I44:I46 I30:I41 I23:I27" xr:uid="{5C170212-58A5-3E45-8A8B-10FE6C571B85}">
      <formula1>$Q$45:$Q$46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0265A-7465-5D44-AA4D-31006B9426CC}">
  <dimension ref="A1:L40"/>
  <sheetViews>
    <sheetView topLeftCell="A4" zoomScaleNormal="100" workbookViewId="0">
      <selection activeCell="L14" sqref="L14"/>
    </sheetView>
  </sheetViews>
  <sheetFormatPr baseColWidth="10" defaultColWidth="11" defaultRowHeight="16" outlineLevelRow="1" outlineLevelCol="1" x14ac:dyDescent="0.2"/>
  <cols>
    <col min="1" max="1" width="21.83203125" customWidth="1"/>
    <col min="2" max="2" width="7.83203125" bestFit="1" customWidth="1"/>
    <col min="3" max="3" width="9.1640625" customWidth="1"/>
    <col min="4" max="4" width="10" bestFit="1" customWidth="1"/>
    <col min="5" max="5" width="6.83203125" customWidth="1"/>
    <col min="7" max="7" width="7.83203125" customWidth="1"/>
    <col min="8" max="8" width="7.6640625" customWidth="1"/>
    <col min="9" max="9" width="10.33203125" customWidth="1"/>
    <col min="10" max="10" width="12" hidden="1" customWidth="1" outlineLevel="1"/>
    <col min="11" max="11" width="11" collapsed="1"/>
  </cols>
  <sheetData>
    <row r="1" spans="1:12" x14ac:dyDescent="0.2">
      <c r="A1" s="210" t="s">
        <v>175</v>
      </c>
      <c r="B1" s="211"/>
      <c r="C1" s="211"/>
      <c r="D1" s="211"/>
      <c r="E1" s="212"/>
      <c r="K1" s="25"/>
      <c r="L1" t="s">
        <v>176</v>
      </c>
    </row>
    <row r="2" spans="1:12" x14ac:dyDescent="0.2">
      <c r="A2" s="213" t="s">
        <v>177</v>
      </c>
      <c r="B2" s="213"/>
      <c r="C2" s="213"/>
      <c r="D2" s="18" t="s">
        <v>109</v>
      </c>
      <c r="E2" s="17">
        <v>12</v>
      </c>
      <c r="F2" t="s">
        <v>178</v>
      </c>
      <c r="L2" t="s">
        <v>179</v>
      </c>
    </row>
    <row r="3" spans="1:12" x14ac:dyDescent="0.2">
      <c r="A3" s="213" t="s">
        <v>180</v>
      </c>
      <c r="B3" s="213"/>
      <c r="C3" s="213"/>
      <c r="D3" s="18" t="s">
        <v>78</v>
      </c>
      <c r="E3" s="9">
        <v>0.1</v>
      </c>
      <c r="F3" t="s">
        <v>181</v>
      </c>
    </row>
    <row r="5" spans="1:12" x14ac:dyDescent="0.2">
      <c r="A5" s="216" t="s">
        <v>182</v>
      </c>
      <c r="B5" s="217"/>
      <c r="C5" s="217"/>
      <c r="D5" s="217"/>
      <c r="E5" s="217"/>
      <c r="F5" s="217"/>
      <c r="G5" s="217"/>
      <c r="H5" s="217"/>
      <c r="I5" s="217"/>
    </row>
    <row r="6" spans="1:12" x14ac:dyDescent="0.2">
      <c r="A6" s="2" t="s">
        <v>106</v>
      </c>
      <c r="B6" s="214" t="s">
        <v>183</v>
      </c>
      <c r="C6" s="215"/>
      <c r="D6" s="214" t="s">
        <v>184</v>
      </c>
      <c r="E6" s="215"/>
      <c r="F6" s="2" t="s">
        <v>185</v>
      </c>
      <c r="G6" s="2" t="s">
        <v>186</v>
      </c>
      <c r="H6" s="214" t="s">
        <v>187</v>
      </c>
      <c r="I6" s="215"/>
    </row>
    <row r="7" spans="1:12" x14ac:dyDescent="0.2">
      <c r="A7" s="34" t="s">
        <v>188</v>
      </c>
      <c r="B7" s="29">
        <v>20</v>
      </c>
      <c r="C7" s="30" t="s">
        <v>24</v>
      </c>
      <c r="D7" s="29">
        <v>35</v>
      </c>
      <c r="E7" s="30" t="s">
        <v>24</v>
      </c>
      <c r="F7" s="34">
        <f>VLOOKUP(A7,Loads!A:D,4,FALSE)</f>
        <v>10.5</v>
      </c>
      <c r="G7">
        <v>100</v>
      </c>
      <c r="H7" s="45">
        <f t="shared" ref="H7:H13" si="0">B7*F7*($E$2/24)*G7</f>
        <v>10500</v>
      </c>
      <c r="I7" s="30" t="s">
        <v>189</v>
      </c>
    </row>
    <row r="8" spans="1:12" x14ac:dyDescent="0.2">
      <c r="A8" s="35" t="s">
        <v>190</v>
      </c>
      <c r="B8">
        <f>VLOOKUP(A8,Loads!A:B,2,FALSE)</f>
        <v>0</v>
      </c>
      <c r="C8" s="31" t="s">
        <v>24</v>
      </c>
      <c r="D8">
        <f>VLOOKUP(A8,Loads!A:C,3,FALSE)</f>
        <v>0</v>
      </c>
      <c r="E8" s="31" t="s">
        <v>24</v>
      </c>
      <c r="F8" s="35">
        <f>VLOOKUP(A8,Loads!A:D,4,FALSE)</f>
        <v>0</v>
      </c>
      <c r="G8">
        <v>1</v>
      </c>
      <c r="H8" s="46">
        <f t="shared" si="0"/>
        <v>0</v>
      </c>
      <c r="I8" s="31" t="s">
        <v>189</v>
      </c>
    </row>
    <row r="9" spans="1:12" x14ac:dyDescent="0.2">
      <c r="A9" s="35" t="s">
        <v>190</v>
      </c>
      <c r="B9">
        <f>VLOOKUP(A9,Loads!A:B,2,FALSE)</f>
        <v>0</v>
      </c>
      <c r="C9" s="31" t="s">
        <v>24</v>
      </c>
      <c r="D9">
        <f>VLOOKUP(A9,Loads!A:C,3,FALSE)</f>
        <v>0</v>
      </c>
      <c r="E9" s="31" t="s">
        <v>24</v>
      </c>
      <c r="F9" s="35">
        <f>VLOOKUP(A9,Loads!A:D,4,FALSE)</f>
        <v>0</v>
      </c>
      <c r="G9">
        <v>1</v>
      </c>
      <c r="H9" s="46">
        <f t="shared" si="0"/>
        <v>0</v>
      </c>
      <c r="I9" s="31" t="s">
        <v>189</v>
      </c>
    </row>
    <row r="10" spans="1:12" x14ac:dyDescent="0.2">
      <c r="A10" s="35" t="s">
        <v>190</v>
      </c>
      <c r="B10">
        <f>VLOOKUP(A10,Loads!A:B,2,FALSE)</f>
        <v>0</v>
      </c>
      <c r="C10" s="31" t="s">
        <v>24</v>
      </c>
      <c r="D10">
        <f>VLOOKUP(A10,Loads!A:C,3,FALSE)</f>
        <v>0</v>
      </c>
      <c r="E10" s="31" t="s">
        <v>24</v>
      </c>
      <c r="F10" s="35">
        <f>VLOOKUP(A10,Loads!A:D,4,FALSE)</f>
        <v>0</v>
      </c>
      <c r="G10">
        <v>1</v>
      </c>
      <c r="H10" s="46">
        <f t="shared" si="0"/>
        <v>0</v>
      </c>
      <c r="I10" s="31" t="s">
        <v>189</v>
      </c>
    </row>
    <row r="11" spans="1:12" x14ac:dyDescent="0.2">
      <c r="A11" s="35" t="s">
        <v>190</v>
      </c>
      <c r="B11">
        <f>VLOOKUP(A11,Loads!A:B,2,FALSE)</f>
        <v>0</v>
      </c>
      <c r="C11" s="31" t="s">
        <v>24</v>
      </c>
      <c r="D11">
        <f>VLOOKUP(A11,Loads!A:C,3,FALSE)</f>
        <v>0</v>
      </c>
      <c r="E11" s="31" t="s">
        <v>24</v>
      </c>
      <c r="F11" s="35">
        <f>VLOOKUP(A11,Loads!A:D,4,FALSE)</f>
        <v>0</v>
      </c>
      <c r="G11">
        <v>1</v>
      </c>
      <c r="H11" s="46">
        <f t="shared" si="0"/>
        <v>0</v>
      </c>
      <c r="I11" s="31" t="s">
        <v>189</v>
      </c>
    </row>
    <row r="12" spans="1:12" x14ac:dyDescent="0.2">
      <c r="A12" s="35" t="s">
        <v>190</v>
      </c>
      <c r="B12">
        <f>VLOOKUP(A12,Loads!A:B,2,FALSE)</f>
        <v>0</v>
      </c>
      <c r="C12" s="31" t="s">
        <v>24</v>
      </c>
      <c r="D12">
        <f>VLOOKUP(A12,Loads!A:C,3,FALSE)</f>
        <v>0</v>
      </c>
      <c r="E12" s="31" t="s">
        <v>24</v>
      </c>
      <c r="F12" s="35">
        <f>VLOOKUP(A12,Loads!A:D,4,FALSE)</f>
        <v>0</v>
      </c>
      <c r="G12">
        <v>1</v>
      </c>
      <c r="H12" s="46">
        <f t="shared" si="0"/>
        <v>0</v>
      </c>
      <c r="I12" s="31" t="s">
        <v>189</v>
      </c>
    </row>
    <row r="13" spans="1:12" x14ac:dyDescent="0.2">
      <c r="A13" s="35" t="s">
        <v>190</v>
      </c>
      <c r="B13">
        <f>VLOOKUP(A13,Loads!A:B,2,FALSE)</f>
        <v>0</v>
      </c>
      <c r="C13" s="31" t="s">
        <v>24</v>
      </c>
      <c r="D13">
        <f>VLOOKUP(A13,Loads!A:C,3,FALSE)</f>
        <v>0</v>
      </c>
      <c r="E13" s="31" t="s">
        <v>24</v>
      </c>
      <c r="F13" s="35">
        <f>VLOOKUP(A13,Loads!A:D,4,FALSE)</f>
        <v>0</v>
      </c>
      <c r="G13">
        <v>1</v>
      </c>
      <c r="H13" s="46">
        <f t="shared" si="0"/>
        <v>0</v>
      </c>
      <c r="I13" s="31" t="s">
        <v>189</v>
      </c>
    </row>
    <row r="14" spans="1:12" x14ac:dyDescent="0.2">
      <c r="A14" s="35" t="s">
        <v>190</v>
      </c>
      <c r="B14">
        <f>VLOOKUP(A14,Loads!A:B,2,FALSE)</f>
        <v>0</v>
      </c>
      <c r="C14" s="31" t="s">
        <v>24</v>
      </c>
      <c r="D14">
        <f>VLOOKUP(A14,Loads!A:C,3,FALSE)</f>
        <v>0</v>
      </c>
      <c r="E14" s="31" t="s">
        <v>24</v>
      </c>
      <c r="F14" s="35">
        <f>VLOOKUP(A14,Loads!A:D,4,FALSE)</f>
        <v>0</v>
      </c>
      <c r="G14">
        <v>1</v>
      </c>
      <c r="H14" s="46">
        <f t="shared" ref="H14:H15" si="1">B14*F14*($E$2/24)*G14</f>
        <v>0</v>
      </c>
      <c r="I14" s="31" t="s">
        <v>189</v>
      </c>
    </row>
    <row r="15" spans="1:12" x14ac:dyDescent="0.2">
      <c r="A15" s="35" t="s">
        <v>190</v>
      </c>
      <c r="B15">
        <f>VLOOKUP(A15,Loads!A:B,2,FALSE)</f>
        <v>0</v>
      </c>
      <c r="C15" s="31" t="s">
        <v>24</v>
      </c>
      <c r="D15">
        <f>VLOOKUP(A15,Loads!A:C,3,FALSE)</f>
        <v>0</v>
      </c>
      <c r="E15" s="31" t="s">
        <v>24</v>
      </c>
      <c r="F15" s="35">
        <f>VLOOKUP(A15,Loads!A:D,4,FALSE)</f>
        <v>0</v>
      </c>
      <c r="G15">
        <v>1</v>
      </c>
      <c r="H15" s="46">
        <f t="shared" si="1"/>
        <v>0</v>
      </c>
      <c r="I15" s="31" t="s">
        <v>189</v>
      </c>
    </row>
    <row r="16" spans="1:12" x14ac:dyDescent="0.2">
      <c r="A16" s="36" t="s">
        <v>190</v>
      </c>
      <c r="B16" s="32">
        <f>VLOOKUP(A16,Loads!A:B,2,FALSE)</f>
        <v>0</v>
      </c>
      <c r="C16" s="33" t="s">
        <v>24</v>
      </c>
      <c r="D16" s="32">
        <f>VLOOKUP(A16,Loads!A:C,3,FALSE)</f>
        <v>0</v>
      </c>
      <c r="E16" s="33" t="s">
        <v>24</v>
      </c>
      <c r="F16" s="36">
        <f>VLOOKUP(A16,Loads!A:D,4,FALSE)</f>
        <v>0</v>
      </c>
      <c r="G16" s="44">
        <v>1</v>
      </c>
      <c r="H16" s="44">
        <f>B16*F16*($E$2/24)*G16</f>
        <v>0</v>
      </c>
      <c r="I16" s="33" t="s">
        <v>189</v>
      </c>
    </row>
    <row r="17" spans="1:12" x14ac:dyDescent="0.2">
      <c r="A17" s="23" t="s">
        <v>191</v>
      </c>
      <c r="B17" s="65">
        <f>SUM(B7:B16)</f>
        <v>20</v>
      </c>
      <c r="C17" s="66" t="s">
        <v>192</v>
      </c>
      <c r="D17" s="65">
        <f>SUM(D7:D16)</f>
        <v>35</v>
      </c>
      <c r="E17" s="66" t="s">
        <v>192</v>
      </c>
      <c r="F17" s="45"/>
      <c r="G17" s="30"/>
      <c r="H17" s="65">
        <f>SUM(H7:H16)</f>
        <v>10500</v>
      </c>
      <c r="I17" s="66" t="s">
        <v>189</v>
      </c>
    </row>
    <row r="19" spans="1:12" ht="17" thickBot="1" x14ac:dyDescent="0.25"/>
    <row r="20" spans="1:12" hidden="1" outlineLevel="1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</row>
    <row r="21" spans="1:12" hidden="1" outlineLevel="1" x14ac:dyDescent="0.2">
      <c r="A21" t="s">
        <v>193</v>
      </c>
    </row>
    <row r="22" spans="1:12" hidden="1" outlineLevel="1" x14ac:dyDescent="0.2">
      <c r="A22">
        <f>B7*G7+B8*G8+B14*G14+B15*G15+B16*G16</f>
        <v>2000</v>
      </c>
      <c r="B22" t="s">
        <v>24</v>
      </c>
      <c r="C22" s="23" t="str">
        <f>IF(A22&gt;10000,"Power Req. too high","")</f>
        <v/>
      </c>
    </row>
    <row r="23" spans="1:12" hidden="1" outlineLevel="1" x14ac:dyDescent="0.2"/>
    <row r="24" spans="1:12" hidden="1" outlineLevel="1" x14ac:dyDescent="0.2">
      <c r="A24" t="s">
        <v>194</v>
      </c>
    </row>
    <row r="25" spans="1:12" hidden="1" outlineLevel="1" x14ac:dyDescent="0.2">
      <c r="A25">
        <f>D7*G7+D8*G8+D14*G14+D15*G15+D16*G16</f>
        <v>3500</v>
      </c>
      <c r="B25" t="s">
        <v>24</v>
      </c>
      <c r="C25" t="str">
        <f>IF(A25&gt;12000,"Surge Power Req. too high","")</f>
        <v/>
      </c>
    </row>
    <row r="26" spans="1:12" hidden="1" outlineLevel="1" x14ac:dyDescent="0.2"/>
    <row r="27" spans="1:12" hidden="1" outlineLevel="1" x14ac:dyDescent="0.2">
      <c r="A27" t="s">
        <v>195</v>
      </c>
      <c r="C27" t="s">
        <v>196</v>
      </c>
      <c r="F27" t="s">
        <v>197</v>
      </c>
    </row>
    <row r="28" spans="1:12" ht="17" hidden="1" outlineLevel="1" thickBot="1" x14ac:dyDescent="0.25">
      <c r="A28">
        <f>(SUM(H7:H16)+'Ref Solar'!D2/1000*24)*1.05</f>
        <v>11026.260000000002</v>
      </c>
      <c r="B28" t="s">
        <v>198</v>
      </c>
      <c r="C28">
        <f>IF(A28&lt;9900,9900*E3,IF(A28&lt;19800,19800*E3,IF(A28&lt;29700,29700*E3,39600*E3)))</f>
        <v>1980</v>
      </c>
      <c r="D28" t="s">
        <v>198</v>
      </c>
      <c r="F28">
        <f>A28+C28</f>
        <v>13006.260000000002</v>
      </c>
      <c r="G28" t="s">
        <v>198</v>
      </c>
      <c r="H28" t="str">
        <f>IF(F28&gt;39600,"Energy Req. too high","")</f>
        <v/>
      </c>
    </row>
    <row r="29" spans="1:12" collapsed="1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</row>
    <row r="30" spans="1:12" x14ac:dyDescent="0.2">
      <c r="A30" s="40" t="s">
        <v>199</v>
      </c>
      <c r="C30" s="216" t="s">
        <v>200</v>
      </c>
      <c r="D30" s="217"/>
      <c r="E30" s="217"/>
      <c r="G30" s="216" t="s">
        <v>201</v>
      </c>
      <c r="H30" s="217"/>
      <c r="L30" t="s">
        <v>68</v>
      </c>
    </row>
    <row r="31" spans="1:12" x14ac:dyDescent="0.2">
      <c r="A31" s="2" t="s">
        <v>202</v>
      </c>
      <c r="C31" s="2">
        <v>3.8</v>
      </c>
      <c r="D31" s="2">
        <v>7.6</v>
      </c>
      <c r="E31" s="2">
        <v>11.4</v>
      </c>
      <c r="G31" s="58">
        <f>IFERROR(A34*10,"NA")</f>
        <v>20</v>
      </c>
      <c r="H31" s="23" t="s">
        <v>189</v>
      </c>
      <c r="L31" t="s">
        <v>203</v>
      </c>
    </row>
    <row r="32" spans="1:12" hidden="1" outlineLevel="1" x14ac:dyDescent="0.2">
      <c r="A32" s="23" cm="1">
        <f t="array" ref="A32">INDEX('Ref Battery'!B3:K6,MATCH(F28,'Ref Battery'!A3:A6,1)+1,1)</f>
        <v>2</v>
      </c>
    </row>
    <row r="33" spans="1:12" hidden="1" outlineLevel="1" x14ac:dyDescent="0.2">
      <c r="A33" s="23">
        <f>IF(SUM(D34:E34)&gt;1,4,A32)</f>
        <v>2</v>
      </c>
    </row>
    <row r="34" spans="1:12" collapsed="1" x14ac:dyDescent="0.2">
      <c r="A34" s="58">
        <f>A33</f>
        <v>2</v>
      </c>
      <c r="C34" s="58" cm="1">
        <f t="array" ref="C34">IFERROR(INDEX('Ref Battery'!C10:E28,MAX((MATCH(A22,'Ref Battery'!A10:A28,1)+1),(MATCH(A25,'Ref Battery'!B10:B28,1)+1)),1),"NA")</f>
        <v>1</v>
      </c>
      <c r="D34" s="58" cm="1">
        <f t="array" ref="D34">IFERROR(INDEX('Ref Battery'!C10:E28,MAX((MATCH(A22,'Ref Battery'!A10:A28,1)+1),(MATCH(A25,'Ref Battery'!B10:B28,1)+1)),2),"NA")</f>
        <v>0</v>
      </c>
      <c r="E34" s="58" cm="1">
        <f t="array" ref="E34">IFERROR(INDEX('Ref Battery'!C10:E28,MAX((MATCH(A22,'Ref Battery'!A10:A28,1)+1),(MATCH(A25,'Ref Battery'!B10:B28,1)+1)),3),"NA")</f>
        <v>0</v>
      </c>
      <c r="L34" t="s">
        <v>204</v>
      </c>
    </row>
    <row r="35" spans="1:12" x14ac:dyDescent="0.2">
      <c r="A35" s="62" t="str">
        <f>IF(A34=0,C22&amp;""&amp;", "&amp;""&amp;C25&amp;""&amp;", "&amp;""&amp;H28,"")</f>
        <v/>
      </c>
      <c r="C35" s="61"/>
      <c r="D35" s="61"/>
      <c r="L35" t="s">
        <v>205</v>
      </c>
    </row>
    <row r="36" spans="1:12" x14ac:dyDescent="0.2">
      <c r="A36" s="61"/>
      <c r="C36" s="61"/>
    </row>
    <row r="37" spans="1:12" ht="17" thickBot="1" x14ac:dyDescent="0.25">
      <c r="J37" s="43"/>
    </row>
    <row r="38" spans="1:12" x14ac:dyDescent="0.2">
      <c r="A38" s="219" t="s">
        <v>206</v>
      </c>
      <c r="B38" s="220"/>
      <c r="D38" s="219" t="s">
        <v>207</v>
      </c>
      <c r="E38" s="220"/>
      <c r="F38" s="220"/>
      <c r="G38" s="220"/>
    </row>
    <row r="39" spans="1:12" x14ac:dyDescent="0.2">
      <c r="A39" s="47" t="s">
        <v>208</v>
      </c>
      <c r="B39" s="59">
        <f>IFERROR(G31*'Ref Solar'!K2/(F28/1000/24),"NA")</f>
        <v>35.982672959021265</v>
      </c>
      <c r="C39" t="s">
        <v>209</v>
      </c>
      <c r="D39" s="214" t="s">
        <v>210</v>
      </c>
      <c r="E39" s="218"/>
      <c r="F39" s="215"/>
      <c r="G39" s="60">
        <f>IFERROR((G31-(F28/1000))/G31,"NA")</f>
        <v>0.34968699999999986</v>
      </c>
    </row>
    <row r="40" spans="1:12" x14ac:dyDescent="0.2">
      <c r="A40" s="47" t="s">
        <v>211</v>
      </c>
      <c r="B40" s="59">
        <f>IFERROR($B$39*'Ref Bat &amp; Sol'!B2*1000/(A22+'Ref Bat &amp; Sol'!$D$2)*(1-E3),"NA")</f>
        <v>15.402339278800564</v>
      </c>
      <c r="C40" t="s">
        <v>209</v>
      </c>
    </row>
  </sheetData>
  <sheetProtection insertRows="0" sort="0"/>
  <protectedRanges>
    <protectedRange sqref="B2" name="Range1_2_1"/>
    <protectedRange sqref="E2" name="Range1_1_1_1"/>
  </protectedRanges>
  <mergeCells count="12">
    <mergeCell ref="H6:I6"/>
    <mergeCell ref="A5:I5"/>
    <mergeCell ref="D39:F39"/>
    <mergeCell ref="A38:B38"/>
    <mergeCell ref="D38:G38"/>
    <mergeCell ref="G30:H30"/>
    <mergeCell ref="C30:E30"/>
    <mergeCell ref="A1:E1"/>
    <mergeCell ref="A2:C2"/>
    <mergeCell ref="A3:C3"/>
    <mergeCell ref="B6:C6"/>
    <mergeCell ref="D6:E6"/>
  </mergeCells>
  <conditionalFormatting sqref="A34:A36">
    <cfRule type="containsText" dxfId="17" priority="11" operator="containsText" text="Too">
      <formula>NOT(ISERROR(SEARCH("Too",A34)))</formula>
    </cfRule>
  </conditionalFormatting>
  <conditionalFormatting sqref="C34:E34 C35:D35 C36 B39:B40">
    <cfRule type="containsText" dxfId="16" priority="8" operator="containsText" text="NA">
      <formula>NOT(ISERROR(SEARCH("NA",B34)))</formula>
    </cfRule>
  </conditionalFormatting>
  <conditionalFormatting sqref="E2">
    <cfRule type="cellIs" dxfId="15" priority="3" operator="greaterThan">
      <formula>24</formula>
    </cfRule>
  </conditionalFormatting>
  <conditionalFormatting sqref="E3">
    <cfRule type="cellIs" dxfId="14" priority="1" operator="lessThan">
      <formula>0.1</formula>
    </cfRule>
    <cfRule type="cellIs" dxfId="13" priority="2" operator="greaterThan">
      <formula>0.5</formula>
    </cfRule>
  </conditionalFormatting>
  <conditionalFormatting sqref="G31">
    <cfRule type="containsText" dxfId="12" priority="9" operator="containsText" text="NA">
      <formula>NOT(ISERROR(SEARCH("NA",G31)))</formula>
    </cfRule>
  </conditionalFormatting>
  <conditionalFormatting sqref="G39">
    <cfRule type="containsText" dxfId="11" priority="7" operator="containsText" text="NA">
      <formula>NOT(ISERROR(SEARCH("NA",G39)))</formula>
    </cfRule>
  </conditionalFormatting>
  <dataValidations count="2">
    <dataValidation type="decimal" operator="greaterThanOrEqual" allowBlank="1" showInputMessage="1" showErrorMessage="1" error="Can not be a negative number" sqref="E2" xr:uid="{32E8A17D-610C-7F44-A31B-02E148F70F89}">
      <formula1>0</formula1>
    </dataValidation>
    <dataValidation type="list" allowBlank="1" showInputMessage="1" showErrorMessage="1" sqref="A7:A16" xr:uid="{B8088F1C-77ED-994E-A2F7-A63E822B18B7}">
      <formula1>Loads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6A535-449D-AB4C-8B5C-0886004D2B33}">
  <dimension ref="A1:S149"/>
  <sheetViews>
    <sheetView zoomScale="130" zoomScaleNormal="130" workbookViewId="0">
      <selection activeCell="N29" sqref="N29"/>
    </sheetView>
  </sheetViews>
  <sheetFormatPr baseColWidth="10" defaultColWidth="11" defaultRowHeight="16" outlineLevelRow="2" outlineLevelCol="1" x14ac:dyDescent="0.2"/>
  <cols>
    <col min="1" max="1" width="21.83203125" customWidth="1"/>
    <col min="2" max="2" width="7.83203125" bestFit="1" customWidth="1"/>
    <col min="3" max="3" width="9.1640625" customWidth="1"/>
    <col min="4" max="4" width="20.6640625" bestFit="1" customWidth="1"/>
    <col min="5" max="5" width="15.83203125" customWidth="1"/>
    <col min="7" max="7" width="13.1640625" customWidth="1"/>
    <col min="8" max="8" width="22.6640625" customWidth="1"/>
    <col min="9" max="9" width="11.83203125" customWidth="1"/>
    <col min="10" max="10" width="12" customWidth="1"/>
    <col min="12" max="13" width="0" hidden="1" customWidth="1" outlineLevel="1"/>
    <col min="14" max="14" width="11" collapsed="1"/>
    <col min="17" max="18" width="0" hidden="1" customWidth="1" outlineLevel="1"/>
    <col min="19" max="19" width="11" collapsed="1"/>
  </cols>
  <sheetData>
    <row r="1" spans="1:14" x14ac:dyDescent="0.2">
      <c r="A1" s="210" t="s">
        <v>0</v>
      </c>
      <c r="B1" s="211"/>
      <c r="C1" s="211"/>
      <c r="D1" s="212"/>
      <c r="E1" s="75" t="s">
        <v>212</v>
      </c>
      <c r="N1" t="s">
        <v>176</v>
      </c>
    </row>
    <row r="2" spans="1:14" x14ac:dyDescent="0.2">
      <c r="A2" s="1" t="s">
        <v>3</v>
      </c>
      <c r="B2" s="15" t="s">
        <v>4</v>
      </c>
      <c r="C2" s="15" t="s">
        <v>5</v>
      </c>
      <c r="D2" s="69">
        <v>40</v>
      </c>
      <c r="E2" t="s">
        <v>6</v>
      </c>
      <c r="N2" t="s">
        <v>213</v>
      </c>
    </row>
    <row r="3" spans="1:14" x14ac:dyDescent="0.2">
      <c r="A3" s="1" t="s">
        <v>7</v>
      </c>
      <c r="B3" s="15" t="s">
        <v>8</v>
      </c>
      <c r="C3" s="15" t="s">
        <v>5</v>
      </c>
      <c r="D3" s="69">
        <v>30</v>
      </c>
      <c r="E3" t="s">
        <v>6</v>
      </c>
    </row>
    <row r="4" spans="1:14" x14ac:dyDescent="0.2">
      <c r="A4" s="1" t="s">
        <v>9</v>
      </c>
      <c r="B4" s="15" t="s">
        <v>10</v>
      </c>
      <c r="C4" s="15" t="s">
        <v>11</v>
      </c>
      <c r="D4" s="70">
        <v>13</v>
      </c>
      <c r="E4" t="s">
        <v>12</v>
      </c>
    </row>
    <row r="5" spans="1:14" x14ac:dyDescent="0.2">
      <c r="A5" s="1" t="s">
        <v>13</v>
      </c>
      <c r="B5" s="15" t="s">
        <v>14</v>
      </c>
      <c r="C5" s="15" t="s">
        <v>11</v>
      </c>
      <c r="D5" s="70">
        <v>11</v>
      </c>
      <c r="E5" t="s">
        <v>15</v>
      </c>
    </row>
    <row r="6" spans="1:14" x14ac:dyDescent="0.2">
      <c r="A6" s="1" t="s">
        <v>16</v>
      </c>
      <c r="B6" s="15" t="s">
        <v>17</v>
      </c>
      <c r="C6" s="15" t="s">
        <v>18</v>
      </c>
      <c r="D6" s="71">
        <v>-2.7000000000000001E-3</v>
      </c>
      <c r="E6" t="s">
        <v>19</v>
      </c>
    </row>
    <row r="7" spans="1:14" x14ac:dyDescent="0.2">
      <c r="A7" s="1" t="s">
        <v>214</v>
      </c>
      <c r="B7" s="15" t="s">
        <v>21</v>
      </c>
      <c r="C7" s="15" t="s">
        <v>18</v>
      </c>
      <c r="D7" s="71">
        <v>-3.2000000000000002E-3</v>
      </c>
      <c r="E7" t="s">
        <v>19</v>
      </c>
    </row>
    <row r="8" spans="1:14" x14ac:dyDescent="0.2">
      <c r="A8" s="1" t="s">
        <v>22</v>
      </c>
      <c r="B8" s="15" t="s">
        <v>23</v>
      </c>
      <c r="C8" s="15" t="s">
        <v>24</v>
      </c>
      <c r="D8" s="72">
        <v>300</v>
      </c>
      <c r="E8" t="s">
        <v>25</v>
      </c>
    </row>
    <row r="10" spans="1:14" x14ac:dyDescent="0.2">
      <c r="A10" s="210" t="s">
        <v>26</v>
      </c>
      <c r="B10" s="211"/>
      <c r="C10" s="211"/>
      <c r="D10" s="212"/>
      <c r="E10" s="25" t="s">
        <v>27</v>
      </c>
    </row>
    <row r="11" spans="1:14" x14ac:dyDescent="0.2">
      <c r="A11" s="181" t="s">
        <v>28</v>
      </c>
      <c r="B11" s="182"/>
      <c r="C11" s="183"/>
      <c r="D11" s="68" t="s">
        <v>29</v>
      </c>
      <c r="E11" t="s">
        <v>30</v>
      </c>
    </row>
    <row r="12" spans="1:14" x14ac:dyDescent="0.2">
      <c r="A12" s="181" t="s">
        <v>31</v>
      </c>
      <c r="B12" s="182"/>
      <c r="C12" s="183"/>
      <c r="D12" s="68">
        <v>-10</v>
      </c>
    </row>
    <row r="13" spans="1:14" x14ac:dyDescent="0.2">
      <c r="A13" s="181" t="s">
        <v>32</v>
      </c>
      <c r="B13" s="182"/>
      <c r="C13" s="183"/>
      <c r="D13" s="68">
        <v>55</v>
      </c>
    </row>
    <row r="15" spans="1:14" x14ac:dyDescent="0.2">
      <c r="A15" s="210" t="s">
        <v>33</v>
      </c>
      <c r="B15" s="211"/>
      <c r="C15" s="211"/>
      <c r="D15" s="212"/>
    </row>
    <row r="16" spans="1:14" x14ac:dyDescent="0.2">
      <c r="A16" s="181" t="s">
        <v>34</v>
      </c>
      <c r="B16" s="182"/>
      <c r="C16" s="183"/>
      <c r="D16" s="73">
        <v>240</v>
      </c>
      <c r="E16" t="s">
        <v>5</v>
      </c>
    </row>
    <row r="17" spans="1:14" x14ac:dyDescent="0.2">
      <c r="A17" s="181" t="s">
        <v>35</v>
      </c>
      <c r="B17" s="182"/>
      <c r="C17" s="183"/>
      <c r="D17" s="73" t="s">
        <v>36</v>
      </c>
    </row>
    <row r="18" spans="1:14" ht="17" thickBot="1" x14ac:dyDescent="0.25">
      <c r="A18" s="43"/>
      <c r="B18" s="43"/>
      <c r="C18" s="43"/>
      <c r="D18" s="43"/>
      <c r="E18" s="43"/>
      <c r="F18" s="43"/>
      <c r="G18" s="43"/>
      <c r="H18" s="43"/>
      <c r="I18" s="43"/>
      <c r="J18" s="43"/>
    </row>
    <row r="20" spans="1:14" x14ac:dyDescent="0.2">
      <c r="A20" s="210" t="s">
        <v>175</v>
      </c>
      <c r="B20" s="211"/>
      <c r="C20" s="211"/>
      <c r="D20" s="211"/>
      <c r="E20" s="212"/>
      <c r="K20" s="25"/>
      <c r="N20" t="s">
        <v>68</v>
      </c>
    </row>
    <row r="21" spans="1:14" x14ac:dyDescent="0.2">
      <c r="A21" s="213" t="s">
        <v>215</v>
      </c>
      <c r="B21" s="213"/>
      <c r="C21" s="213"/>
      <c r="D21" s="18" t="s">
        <v>109</v>
      </c>
      <c r="E21" s="69">
        <v>18</v>
      </c>
      <c r="F21" t="s">
        <v>178</v>
      </c>
      <c r="N21" t="s">
        <v>179</v>
      </c>
    </row>
    <row r="22" spans="1:14" x14ac:dyDescent="0.2">
      <c r="A22" s="213" t="s">
        <v>180</v>
      </c>
      <c r="B22" s="213"/>
      <c r="C22" s="213"/>
      <c r="D22" s="18" t="s">
        <v>78</v>
      </c>
      <c r="E22" s="74">
        <v>0.1</v>
      </c>
      <c r="F22" t="s">
        <v>216</v>
      </c>
      <c r="N22" t="s">
        <v>217</v>
      </c>
    </row>
    <row r="24" spans="1:14" x14ac:dyDescent="0.2">
      <c r="A24" s="219" t="s">
        <v>182</v>
      </c>
      <c r="B24" s="220"/>
      <c r="C24" s="220"/>
      <c r="D24" s="220"/>
      <c r="E24" s="220"/>
      <c r="F24" s="220"/>
      <c r="G24" s="220"/>
      <c r="H24" s="220"/>
    </row>
    <row r="25" spans="1:14" x14ac:dyDescent="0.2">
      <c r="A25" s="2" t="s">
        <v>106</v>
      </c>
      <c r="B25" s="214" t="s">
        <v>218</v>
      </c>
      <c r="C25" s="215"/>
      <c r="D25" s="214" t="s">
        <v>219</v>
      </c>
      <c r="E25" s="215"/>
      <c r="F25" s="2" t="s">
        <v>185</v>
      </c>
      <c r="G25" s="2" t="s">
        <v>186</v>
      </c>
      <c r="H25" s="214" t="s">
        <v>187</v>
      </c>
      <c r="I25" s="215"/>
    </row>
    <row r="26" spans="1:14" x14ac:dyDescent="0.2">
      <c r="A26" s="34" t="s">
        <v>188</v>
      </c>
      <c r="B26" s="29">
        <f>VLOOKUP(A26,Loads!A:B,2,FALSE)</f>
        <v>20</v>
      </c>
      <c r="C26" s="30" t="s">
        <v>24</v>
      </c>
      <c r="D26" s="29">
        <f>VLOOKUP(A26,Loads!A:C,3,FALSE)</f>
        <v>20</v>
      </c>
      <c r="E26" s="30" t="s">
        <v>24</v>
      </c>
      <c r="F26" s="34">
        <f>VLOOKUP(A26,Loads!A:D,4,FALSE)</f>
        <v>10.5</v>
      </c>
      <c r="G26">
        <v>50</v>
      </c>
      <c r="H26" s="45">
        <f>B26*F26*($E$21/24)*G26</f>
        <v>7875</v>
      </c>
      <c r="I26" s="30" t="s">
        <v>189</v>
      </c>
    </row>
    <row r="27" spans="1:14" x14ac:dyDescent="0.2">
      <c r="A27" s="35" t="s">
        <v>220</v>
      </c>
      <c r="B27">
        <f>VLOOKUP(A27,Loads!A:B,2,FALSE)</f>
        <v>650</v>
      </c>
      <c r="C27" s="31" t="s">
        <v>24</v>
      </c>
      <c r="D27">
        <v>200</v>
      </c>
      <c r="E27" s="31" t="s">
        <v>24</v>
      </c>
      <c r="F27" s="35">
        <f>VLOOKUP(A27,Loads!A:D,4,FALSE)</f>
        <v>0.05</v>
      </c>
      <c r="G27">
        <v>1</v>
      </c>
      <c r="H27" s="46">
        <f>B27*F27*($E$21/24)*G27</f>
        <v>24.375</v>
      </c>
      <c r="I27" s="31" t="s">
        <v>189</v>
      </c>
    </row>
    <row r="28" spans="1:14" x14ac:dyDescent="0.2">
      <c r="A28" s="35" t="s">
        <v>134</v>
      </c>
      <c r="B28">
        <f>VLOOKUP(A28,Loads!A:B,2,FALSE)</f>
        <v>1200</v>
      </c>
      <c r="C28" s="31" t="s">
        <v>24</v>
      </c>
      <c r="D28">
        <v>200</v>
      </c>
      <c r="E28" s="31" t="s">
        <v>24</v>
      </c>
      <c r="F28" s="35">
        <f>VLOOKUP(A28,Loads!A:D,4,FALSE)</f>
        <v>0.6</v>
      </c>
      <c r="G28">
        <v>5</v>
      </c>
      <c r="H28" s="46">
        <f t="shared" ref="H28:H37" si="0">B28*F28*($E$21/24)*G28</f>
        <v>2700</v>
      </c>
      <c r="I28" s="31" t="s">
        <v>189</v>
      </c>
    </row>
    <row r="29" spans="1:14" x14ac:dyDescent="0.2">
      <c r="A29" s="35" t="s">
        <v>221</v>
      </c>
      <c r="B29">
        <f>VLOOKUP(A29,Loads!A:B,2,FALSE)</f>
        <v>100</v>
      </c>
      <c r="C29" s="31" t="s">
        <v>24</v>
      </c>
      <c r="D29">
        <f>VLOOKUP(A29,Loads!A:C,3,FALSE)</f>
        <v>100</v>
      </c>
      <c r="E29" s="31" t="s">
        <v>24</v>
      </c>
      <c r="F29" s="35">
        <f>VLOOKUP(A29,Loads!A:D,4,FALSE)</f>
        <v>6.3</v>
      </c>
      <c r="G29">
        <v>1</v>
      </c>
      <c r="H29" s="46">
        <f t="shared" si="0"/>
        <v>472.5</v>
      </c>
      <c r="I29" s="31" t="s">
        <v>189</v>
      </c>
    </row>
    <row r="30" spans="1:14" x14ac:dyDescent="0.2">
      <c r="A30" s="35" t="s">
        <v>190</v>
      </c>
      <c r="B30">
        <f>VLOOKUP(A30,Loads!A:B,2,FALSE)</f>
        <v>0</v>
      </c>
      <c r="C30" s="31" t="s">
        <v>24</v>
      </c>
      <c r="D30">
        <f>VLOOKUP(A30,Loads!A:C,3,FALSE)</f>
        <v>0</v>
      </c>
      <c r="E30" s="31" t="s">
        <v>24</v>
      </c>
      <c r="F30" s="35">
        <f>VLOOKUP(A30,Loads!A:D,4,FALSE)</f>
        <v>0</v>
      </c>
      <c r="G30">
        <v>1</v>
      </c>
      <c r="H30" s="46">
        <f t="shared" si="0"/>
        <v>0</v>
      </c>
      <c r="I30" s="31" t="s">
        <v>189</v>
      </c>
    </row>
    <row r="31" spans="1:14" x14ac:dyDescent="0.2">
      <c r="A31" s="35" t="s">
        <v>190</v>
      </c>
      <c r="B31">
        <f>VLOOKUP(A31,Loads!A:B,2,FALSE)</f>
        <v>0</v>
      </c>
      <c r="C31" s="31" t="s">
        <v>24</v>
      </c>
      <c r="D31">
        <f>VLOOKUP(A31,Loads!A:C,3,FALSE)</f>
        <v>0</v>
      </c>
      <c r="E31" s="31" t="s">
        <v>24</v>
      </c>
      <c r="F31" s="35">
        <f>VLOOKUP(A31,Loads!A:D,4,FALSE)</f>
        <v>0</v>
      </c>
      <c r="G31">
        <v>1</v>
      </c>
      <c r="H31" s="46">
        <f t="shared" si="0"/>
        <v>0</v>
      </c>
      <c r="I31" s="31" t="s">
        <v>189</v>
      </c>
    </row>
    <row r="32" spans="1:14" x14ac:dyDescent="0.2">
      <c r="A32" s="35" t="s">
        <v>190</v>
      </c>
      <c r="B32">
        <f>VLOOKUP(A32,Loads!A:B,2,FALSE)</f>
        <v>0</v>
      </c>
      <c r="C32" s="31" t="s">
        <v>24</v>
      </c>
      <c r="D32">
        <f>VLOOKUP(A32,Loads!A:C,3,FALSE)</f>
        <v>0</v>
      </c>
      <c r="E32" s="31" t="s">
        <v>24</v>
      </c>
      <c r="F32" s="35">
        <f>VLOOKUP(A32,Loads!A:D,4,FALSE)</f>
        <v>0</v>
      </c>
      <c r="G32">
        <v>1</v>
      </c>
      <c r="H32" s="46">
        <f t="shared" si="0"/>
        <v>0</v>
      </c>
      <c r="I32" s="31" t="s">
        <v>189</v>
      </c>
    </row>
    <row r="33" spans="1:18" x14ac:dyDescent="0.2">
      <c r="A33" s="35" t="s">
        <v>190</v>
      </c>
      <c r="B33">
        <f>VLOOKUP(A33,Loads!A:B,2,FALSE)</f>
        <v>0</v>
      </c>
      <c r="C33" s="31" t="s">
        <v>24</v>
      </c>
      <c r="D33">
        <f>VLOOKUP(A33,Loads!A:C,3,FALSE)</f>
        <v>0</v>
      </c>
      <c r="E33" s="31" t="s">
        <v>24</v>
      </c>
      <c r="F33" s="35">
        <f>VLOOKUP(A33,Loads!A:D,4,FALSE)</f>
        <v>0</v>
      </c>
      <c r="G33">
        <v>1</v>
      </c>
      <c r="H33" s="46">
        <f t="shared" si="0"/>
        <v>0</v>
      </c>
      <c r="I33" s="31" t="s">
        <v>189</v>
      </c>
    </row>
    <row r="34" spans="1:18" x14ac:dyDescent="0.2">
      <c r="A34" s="35" t="s">
        <v>190</v>
      </c>
      <c r="B34">
        <f>VLOOKUP(A34,Loads!A:B,2,FALSE)</f>
        <v>0</v>
      </c>
      <c r="C34" s="31" t="s">
        <v>24</v>
      </c>
      <c r="D34">
        <f>VLOOKUP(A34,Loads!A:C,3,FALSE)</f>
        <v>0</v>
      </c>
      <c r="E34" s="31" t="s">
        <v>24</v>
      </c>
      <c r="F34" s="35">
        <f>VLOOKUP(A34,Loads!A:D,4,FALSE)</f>
        <v>0</v>
      </c>
      <c r="G34">
        <v>1</v>
      </c>
      <c r="H34" s="46">
        <f t="shared" si="0"/>
        <v>0</v>
      </c>
      <c r="I34" s="31" t="s">
        <v>189</v>
      </c>
    </row>
    <row r="35" spans="1:18" x14ac:dyDescent="0.2">
      <c r="A35" s="35" t="s">
        <v>190</v>
      </c>
      <c r="B35">
        <f>VLOOKUP(A35,Loads!A:B,2,FALSE)</f>
        <v>0</v>
      </c>
      <c r="C35" s="31" t="s">
        <v>24</v>
      </c>
      <c r="D35">
        <f>VLOOKUP(A35,Loads!A:C,3,FALSE)</f>
        <v>0</v>
      </c>
      <c r="E35" s="31" t="s">
        <v>24</v>
      </c>
      <c r="F35" s="35">
        <f>VLOOKUP(A35,Loads!A:D,4,FALSE)</f>
        <v>0</v>
      </c>
      <c r="G35">
        <v>1</v>
      </c>
      <c r="H35" s="46">
        <f t="shared" si="0"/>
        <v>0</v>
      </c>
      <c r="I35" s="31" t="s">
        <v>189</v>
      </c>
    </row>
    <row r="36" spans="1:18" ht="17" customHeight="1" x14ac:dyDescent="0.2">
      <c r="A36" s="35" t="s">
        <v>190</v>
      </c>
      <c r="B36">
        <f>VLOOKUP(A36,Loads!A:B,2,FALSE)</f>
        <v>0</v>
      </c>
      <c r="C36" s="31" t="s">
        <v>24</v>
      </c>
      <c r="D36">
        <f>VLOOKUP(A36,Loads!A:C,3,FALSE)</f>
        <v>0</v>
      </c>
      <c r="E36" s="31" t="s">
        <v>24</v>
      </c>
      <c r="F36" s="35">
        <f>VLOOKUP(A36,Loads!A:D,4,FALSE)</f>
        <v>0</v>
      </c>
      <c r="G36">
        <v>1</v>
      </c>
      <c r="H36" s="46">
        <f t="shared" si="0"/>
        <v>0</v>
      </c>
      <c r="I36" s="31" t="s">
        <v>189</v>
      </c>
    </row>
    <row r="37" spans="1:18" x14ac:dyDescent="0.2">
      <c r="A37" s="35" t="s">
        <v>190</v>
      </c>
      <c r="B37">
        <f>VLOOKUP(A37,Loads!A:B,2,FALSE)</f>
        <v>0</v>
      </c>
      <c r="C37" s="31" t="s">
        <v>24</v>
      </c>
      <c r="D37">
        <f>VLOOKUP(A37,Loads!A:C,3,FALSE)</f>
        <v>0</v>
      </c>
      <c r="E37" s="31" t="s">
        <v>24</v>
      </c>
      <c r="F37" s="35">
        <f>VLOOKUP(A37,Loads!A:D,4,FALSE)</f>
        <v>0</v>
      </c>
      <c r="G37">
        <v>1</v>
      </c>
      <c r="H37" s="46">
        <f t="shared" si="0"/>
        <v>0</v>
      </c>
      <c r="I37" s="31" t="s">
        <v>189</v>
      </c>
    </row>
    <row r="38" spans="1:18" x14ac:dyDescent="0.2">
      <c r="A38" s="36" t="s">
        <v>222</v>
      </c>
      <c r="B38" s="32">
        <f>VLOOKUP(A38,Loads!A:B,2,FALSE)</f>
        <v>10</v>
      </c>
      <c r="C38" s="33" t="s">
        <v>24</v>
      </c>
      <c r="D38" s="32">
        <f>VLOOKUP(A38,Loads!A:C,3,FALSE)</f>
        <v>10</v>
      </c>
      <c r="E38" s="33" t="s">
        <v>24</v>
      </c>
      <c r="F38" s="36">
        <f>VLOOKUP(A38,Loads!A:D,4,FALSE)</f>
        <v>10</v>
      </c>
      <c r="G38" s="44">
        <v>1</v>
      </c>
      <c r="H38" s="44">
        <f>B38*F38*($E$21/24)*G38</f>
        <v>75</v>
      </c>
      <c r="I38" s="33" t="s">
        <v>189</v>
      </c>
    </row>
    <row r="39" spans="1:18" x14ac:dyDescent="0.2">
      <c r="A39" s="23" t="s">
        <v>191</v>
      </c>
      <c r="B39" s="65">
        <f>SUM(B26:B38)</f>
        <v>1980</v>
      </c>
      <c r="C39" s="66" t="s">
        <v>192</v>
      </c>
      <c r="D39" s="65">
        <f>SUM(D26:D38)</f>
        <v>530</v>
      </c>
      <c r="E39" s="66" t="s">
        <v>192</v>
      </c>
      <c r="H39" s="67">
        <f>SUM(H26:H38)</f>
        <v>11146.875</v>
      </c>
      <c r="I39" s="66" t="s">
        <v>189</v>
      </c>
    </row>
    <row r="40" spans="1:18" ht="17" thickBot="1" x14ac:dyDescent="0.25"/>
    <row r="41" spans="1:18" hidden="1" outlineLevel="1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Q41" t="s">
        <v>223</v>
      </c>
      <c r="R41" t="s">
        <v>224</v>
      </c>
    </row>
    <row r="42" spans="1:18" hidden="1" outlineLevel="1" x14ac:dyDescent="0.2">
      <c r="A42" t="s">
        <v>193</v>
      </c>
      <c r="Q42">
        <f>IF(OR(A43&gt;10000,A46&gt;12000,F49&gt;39600),0,IF(SUM(D55:E55)-A53&gt;0,A53+A54,A53))</f>
        <v>2</v>
      </c>
      <c r="R42">
        <f>SUM(D55:E55)-A53</f>
        <v>-1</v>
      </c>
    </row>
    <row r="43" spans="1:18" hidden="1" outlineLevel="1" x14ac:dyDescent="0.2">
      <c r="A43">
        <f>B26*G26+B27*G27+B28*G28+B29*G29+B38*G38</f>
        <v>7760</v>
      </c>
      <c r="B43" t="s">
        <v>24</v>
      </c>
    </row>
    <row r="44" spans="1:18" hidden="1" outlineLevel="1" x14ac:dyDescent="0.2"/>
    <row r="45" spans="1:18" hidden="1" outlineLevel="1" x14ac:dyDescent="0.2">
      <c r="A45" t="s">
        <v>194</v>
      </c>
    </row>
    <row r="46" spans="1:18" hidden="1" outlineLevel="1" x14ac:dyDescent="0.2">
      <c r="A46">
        <f>D26*G26+D27*G27+D28*G28+D29*G29+D38*G38</f>
        <v>2310</v>
      </c>
      <c r="B46" t="s">
        <v>24</v>
      </c>
    </row>
    <row r="47" spans="1:18" hidden="1" outlineLevel="1" x14ac:dyDescent="0.2"/>
    <row r="48" spans="1:18" hidden="1" outlineLevel="1" x14ac:dyDescent="0.2">
      <c r="A48" t="s">
        <v>195</v>
      </c>
      <c r="C48" t="s">
        <v>196</v>
      </c>
      <c r="F48" t="s">
        <v>197</v>
      </c>
    </row>
    <row r="49" spans="1:14" ht="17" hidden="1" outlineLevel="1" thickBot="1" x14ac:dyDescent="0.25">
      <c r="A49">
        <f>(SUM(H26:H38)+'Ref Bat &amp; Sol'!D2/1000*24)*1.05</f>
        <v>11705.478750000002</v>
      </c>
      <c r="B49" t="s">
        <v>198</v>
      </c>
      <c r="C49">
        <f>IF(A49&lt;9900,9900*E22,IF(A49&lt;19800,19800*E22,IF(A49&lt;29700,29700*E22,39600*E22)))</f>
        <v>1980</v>
      </c>
      <c r="D49" t="s">
        <v>198</v>
      </c>
      <c r="F49">
        <f>A49+C49</f>
        <v>13685.478750000002</v>
      </c>
      <c r="G49" t="s">
        <v>198</v>
      </c>
    </row>
    <row r="50" spans="1:14" collapsed="1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4" x14ac:dyDescent="0.2">
      <c r="A51" s="40" t="s">
        <v>199</v>
      </c>
      <c r="C51" s="217" t="s">
        <v>225</v>
      </c>
      <c r="D51" s="217"/>
      <c r="E51" s="217"/>
      <c r="G51" s="216" t="s">
        <v>226</v>
      </c>
      <c r="H51" s="217"/>
      <c r="N51" t="s">
        <v>227</v>
      </c>
    </row>
    <row r="52" spans="1:14" x14ac:dyDescent="0.2">
      <c r="A52" s="2" t="s">
        <v>202</v>
      </c>
      <c r="C52" s="2">
        <v>3.8</v>
      </c>
      <c r="D52" s="2">
        <v>7.6</v>
      </c>
      <c r="E52" s="2">
        <v>11.4</v>
      </c>
      <c r="G52" s="23">
        <f>C55*2*E111+D55*3*E112+E55*4*E113</f>
        <v>52</v>
      </c>
      <c r="H52" s="23" t="s">
        <v>75</v>
      </c>
      <c r="N52" t="s">
        <v>203</v>
      </c>
    </row>
    <row r="53" spans="1:14" hidden="1" outlineLevel="1" x14ac:dyDescent="0.2">
      <c r="A53" s="23" cm="1">
        <f t="array" ref="A53">INDEX('Ref Battery'!B3:K6,MATCH(F49,'Ref Battery'!A3:A6,1)+1,1)</f>
        <v>2</v>
      </c>
      <c r="N53" t="s">
        <v>204</v>
      </c>
    </row>
    <row r="54" spans="1:14" hidden="1" outlineLevel="1" x14ac:dyDescent="0.2">
      <c r="A54" s="23">
        <f>IF(SUM(D55:E55)&gt;1,4,A53)</f>
        <v>2</v>
      </c>
      <c r="N54" t="s">
        <v>228</v>
      </c>
    </row>
    <row r="55" spans="1:14" collapsed="1" x14ac:dyDescent="0.2">
      <c r="A55" s="23">
        <f>A54</f>
        <v>2</v>
      </c>
      <c r="C55" s="23" cm="1">
        <f t="array" ref="C55">IFERROR(INDEX('Ref Battery'!C10:E28,MAX((MATCH(A43,'Ref Battery'!A10:A28,1)+1),(MATCH(A46,'Ref Battery'!B10:B28,1)+1)),1),"NA")</f>
        <v>0</v>
      </c>
      <c r="D55" s="23" cm="1">
        <f t="array" ref="D55">IFERROR(INDEX('Ref Battery'!C10:E28,MAX((MATCH(A43,'Ref Battery'!A10:A28,1)+1),(MATCH(A46,'Ref Battery'!B10:B28,1)+1)),2),"NA")</f>
        <v>0</v>
      </c>
      <c r="E55" s="23" cm="1">
        <f t="array" ref="E55">IFERROR(INDEX('Ref Battery'!C10:E28,MAX((MATCH(A43,'Ref Battery'!A10:A28,1)+1),(MATCH(A46,'Ref Battery'!B10:B28,1)+1)),3),"NA")</f>
        <v>1</v>
      </c>
      <c r="G55" s="23">
        <f>G52*D8/1000</f>
        <v>15.6</v>
      </c>
      <c r="H55" s="23" t="s">
        <v>229</v>
      </c>
      <c r="N55" t="s">
        <v>230</v>
      </c>
    </row>
    <row r="56" spans="1:14" x14ac:dyDescent="0.2">
      <c r="G56" s="23">
        <f>D55*D52+E55*E52+C55*C52</f>
        <v>11.4</v>
      </c>
      <c r="H56" s="23" t="s">
        <v>231</v>
      </c>
      <c r="N56" t="s">
        <v>232</v>
      </c>
    </row>
    <row r="57" spans="1:14" x14ac:dyDescent="0.2">
      <c r="A57" s="40" t="s">
        <v>233</v>
      </c>
      <c r="B57" s="2">
        <f>IF(A55=4,D55*7.6+E55*10,IF(A55=2,D55*7.6+E55*10,D55*5+E55*5))</f>
        <v>10</v>
      </c>
      <c r="C57" t="s">
        <v>76</v>
      </c>
      <c r="G57" s="53">
        <f>G55/G56</f>
        <v>1.368421052631579</v>
      </c>
      <c r="H57" s="23" t="s">
        <v>94</v>
      </c>
    </row>
    <row r="58" spans="1:14" x14ac:dyDescent="0.2">
      <c r="A58" s="40" t="s">
        <v>201</v>
      </c>
      <c r="B58" s="2">
        <f>A55*10</f>
        <v>20</v>
      </c>
      <c r="C58" t="s">
        <v>189</v>
      </c>
    </row>
    <row r="59" spans="1:14" ht="17" thickBot="1" x14ac:dyDescent="0.25">
      <c r="A59" s="43"/>
      <c r="B59" s="43"/>
      <c r="C59" s="43"/>
      <c r="D59" s="43"/>
      <c r="E59" s="43"/>
      <c r="F59" s="43"/>
      <c r="G59" s="43"/>
      <c r="H59" s="43"/>
      <c r="I59" s="43"/>
      <c r="J59" s="43"/>
    </row>
    <row r="60" spans="1:14" outlineLevel="1" x14ac:dyDescent="0.2">
      <c r="A60" s="16" t="s">
        <v>234</v>
      </c>
      <c r="B60" s="16" t="s">
        <v>235</v>
      </c>
      <c r="C60" s="16" t="s">
        <v>236</v>
      </c>
      <c r="D60" s="16"/>
      <c r="E60" s="16"/>
      <c r="F60" s="16"/>
      <c r="G60" s="16"/>
      <c r="H60" s="16" t="s">
        <v>237</v>
      </c>
      <c r="I60" s="16" t="str">
        <f>"https://developer.nrel.gov/api/pvwatts/v6.json?api_key="&amp;""&amp;C60&amp;""&amp;L65&amp;""&amp;L63&amp;""&amp;L64&amp;""&amp;L62&amp;""&amp;"&amp;array_type=1&amp;module_type=1&amp;losses="&amp;""&amp;I84&amp;""&amp;"&amp;radius=0"</f>
        <v>https://developer.nrel.gov/api/pvwatts/v6.json?api_key=WHGYFoNh0lxs0n0b8yZdr3vlI9PnFOC5xKNeW65z&amp;address=96161&amp;tilt=20&amp;azimuth=180&amp;system_capacity=1&amp;array_type=1&amp;module_type=1&amp;losses=12.4097806403839&amp;radius=0</v>
      </c>
      <c r="J60" s="16"/>
    </row>
    <row r="61" spans="1:14" outlineLevel="1" collapsed="1" x14ac:dyDescent="0.2"/>
    <row r="62" spans="1:14" outlineLevel="1" x14ac:dyDescent="0.2">
      <c r="A62" s="40" t="s">
        <v>66</v>
      </c>
      <c r="B62" s="23">
        <v>1</v>
      </c>
      <c r="C62" t="s">
        <v>76</v>
      </c>
      <c r="D62" s="40" t="s">
        <v>238</v>
      </c>
      <c r="E62" s="2">
        <f>D83</f>
        <v>5.4254838709677422</v>
      </c>
      <c r="F62" t="s">
        <v>189</v>
      </c>
      <c r="L62" t="str">
        <f>"&amp;system_capacity="&amp;""&amp;B62</f>
        <v>&amp;system_capacity=1</v>
      </c>
      <c r="N62" t="s">
        <v>239</v>
      </c>
    </row>
    <row r="63" spans="1:14" outlineLevel="1" x14ac:dyDescent="0.2">
      <c r="A63" s="40" t="s">
        <v>240</v>
      </c>
      <c r="B63" s="68">
        <v>20</v>
      </c>
      <c r="C63" t="s">
        <v>241</v>
      </c>
      <c r="D63" s="40" t="s">
        <v>242</v>
      </c>
      <c r="E63" s="2">
        <f>D84</f>
        <v>3.4377419354838707</v>
      </c>
      <c r="F63" t="s">
        <v>189</v>
      </c>
      <c r="L63" t="str">
        <f>"&amp;tilt="&amp;""&amp;B63</f>
        <v>&amp;tilt=20</v>
      </c>
      <c r="N63" t="s">
        <v>243</v>
      </c>
    </row>
    <row r="64" spans="1:14" outlineLevel="1" x14ac:dyDescent="0.2">
      <c r="A64" s="40" t="s">
        <v>244</v>
      </c>
      <c r="B64" s="68">
        <v>180</v>
      </c>
      <c r="C64" t="s">
        <v>241</v>
      </c>
      <c r="L64" t="str">
        <f>"&amp;azimuth="&amp;""&amp;B64</f>
        <v>&amp;azimuth=180</v>
      </c>
      <c r="N64" t="s">
        <v>245</v>
      </c>
    </row>
    <row r="65" spans="1:12" outlineLevel="1" x14ac:dyDescent="0.2">
      <c r="A65" s="40" t="s">
        <v>246</v>
      </c>
      <c r="B65" s="68">
        <v>96161</v>
      </c>
      <c r="L65" t="str">
        <f>"&amp;address="&amp;""&amp;B65</f>
        <v>&amp;address=96161</v>
      </c>
    </row>
    <row r="66" spans="1:12" outlineLevel="1" x14ac:dyDescent="0.2">
      <c r="A66" s="26" t="s">
        <v>247</v>
      </c>
      <c r="B66" s="68" t="s">
        <v>248</v>
      </c>
    </row>
    <row r="67" spans="1:12" ht="17" outlineLevel="1" thickBot="1" x14ac:dyDescent="0.25">
      <c r="A67" s="43"/>
      <c r="B67" s="43"/>
      <c r="C67" s="43"/>
      <c r="D67" s="43"/>
      <c r="E67" s="43"/>
      <c r="F67" s="43"/>
      <c r="G67" s="43"/>
      <c r="H67" s="43"/>
      <c r="I67" s="43"/>
      <c r="J67" s="43"/>
    </row>
    <row r="68" spans="1:12" ht="17" hidden="1" outlineLevel="2" thickBot="1" x14ac:dyDescent="0.25">
      <c r="A68" s="16"/>
      <c r="B68" s="16"/>
      <c r="C68" s="16"/>
      <c r="D68" t="s">
        <v>249</v>
      </c>
      <c r="F68" s="16"/>
      <c r="G68" s="16"/>
      <c r="H68" s="16"/>
      <c r="I68" s="16"/>
      <c r="J68" s="16"/>
    </row>
    <row r="69" spans="1:12" hidden="1" outlineLevel="2" x14ac:dyDescent="0.2">
      <c r="A69" s="38" t="s">
        <v>250</v>
      </c>
      <c r="B69" s="39"/>
      <c r="C69" s="32"/>
      <c r="D69" t="s">
        <v>189</v>
      </c>
    </row>
    <row r="70" spans="1:12" hidden="1" outlineLevel="2" x14ac:dyDescent="0.2">
      <c r="B70" t="s">
        <v>251</v>
      </c>
      <c r="C70" t="s">
        <v>252</v>
      </c>
      <c r="D70" s="47">
        <f>C87</f>
        <v>1</v>
      </c>
      <c r="E70" s="47">
        <f>D87</f>
        <v>5.7</v>
      </c>
      <c r="F70" s="47">
        <f>E87</f>
        <v>11.4</v>
      </c>
      <c r="G70" t="s">
        <v>229</v>
      </c>
      <c r="H70" s="8" t="s">
        <v>253</v>
      </c>
      <c r="I70" s="42" t="s">
        <v>254</v>
      </c>
      <c r="J70" t="s">
        <v>255</v>
      </c>
    </row>
    <row r="71" spans="1:12" hidden="1" outlineLevel="2" x14ac:dyDescent="0.2">
      <c r="A71" t="s">
        <v>256</v>
      </c>
      <c r="B71">
        <v>110.45</v>
      </c>
      <c r="C71" t="s">
        <v>189</v>
      </c>
      <c r="D71" s="41">
        <f>$B$71/31</f>
        <v>3.5629032258064517</v>
      </c>
      <c r="E71" s="41">
        <f>$B$71/31*E70</f>
        <v>20.308548387096774</v>
      </c>
      <c r="F71" s="41">
        <f>$B$71/31*F70</f>
        <v>40.617096774193548</v>
      </c>
      <c r="G71" t="s">
        <v>189</v>
      </c>
      <c r="H71" t="s">
        <v>257</v>
      </c>
      <c r="I71" s="37">
        <v>0.02</v>
      </c>
      <c r="J71" s="37">
        <v>0.02</v>
      </c>
    </row>
    <row r="72" spans="1:12" hidden="1" outlineLevel="2" x14ac:dyDescent="0.2">
      <c r="A72" t="s">
        <v>258</v>
      </c>
      <c r="B72">
        <v>113.88</v>
      </c>
      <c r="C72" t="s">
        <v>189</v>
      </c>
      <c r="D72" s="41">
        <f>B72/28</f>
        <v>4.0671428571428567</v>
      </c>
      <c r="E72" s="41">
        <f>B72/28*E70</f>
        <v>23.182714285714283</v>
      </c>
      <c r="F72" s="41">
        <f>B72/28*F70</f>
        <v>46.365428571428566</v>
      </c>
      <c r="G72" t="s">
        <v>189</v>
      </c>
      <c r="H72" t="s">
        <v>259</v>
      </c>
      <c r="I72" s="37">
        <v>0.03</v>
      </c>
      <c r="J72" s="37">
        <v>0.03</v>
      </c>
    </row>
    <row r="73" spans="1:12" hidden="1" outlineLevel="2" x14ac:dyDescent="0.2">
      <c r="A73" t="s">
        <v>260</v>
      </c>
      <c r="B73">
        <v>148.22</v>
      </c>
      <c r="C73" t="s">
        <v>189</v>
      </c>
      <c r="D73" s="41">
        <f>B73/31</f>
        <v>4.7812903225806451</v>
      </c>
      <c r="E73" s="41">
        <f>B73/31*E70</f>
        <v>27.253354838709679</v>
      </c>
      <c r="F73" s="41">
        <f>B73/31*F70</f>
        <v>54.506709677419359</v>
      </c>
      <c r="G73" t="s">
        <v>189</v>
      </c>
      <c r="H73" t="s">
        <v>261</v>
      </c>
      <c r="I73" s="37">
        <v>0</v>
      </c>
      <c r="J73" s="37">
        <v>0</v>
      </c>
    </row>
    <row r="74" spans="1:12" hidden="1" outlineLevel="2" x14ac:dyDescent="0.2">
      <c r="A74" t="s">
        <v>262</v>
      </c>
      <c r="B74">
        <v>153.86000000000001</v>
      </c>
      <c r="C74" t="s">
        <v>189</v>
      </c>
      <c r="D74" s="41">
        <f>B74/30</f>
        <v>5.1286666666666667</v>
      </c>
      <c r="E74" s="41">
        <f>B74/30*E70</f>
        <v>29.2334</v>
      </c>
      <c r="F74" s="41">
        <f>B74/30*F70</f>
        <v>58.466799999999999</v>
      </c>
      <c r="G74" t="s">
        <v>189</v>
      </c>
      <c r="H74" t="s">
        <v>263</v>
      </c>
      <c r="I74" s="37">
        <v>0.02</v>
      </c>
      <c r="J74" s="37">
        <v>1E-3</v>
      </c>
    </row>
    <row r="75" spans="1:12" hidden="1" outlineLevel="2" x14ac:dyDescent="0.2">
      <c r="A75" t="s">
        <v>264</v>
      </c>
      <c r="B75">
        <v>168.19</v>
      </c>
      <c r="C75" t="s">
        <v>189</v>
      </c>
      <c r="D75" s="41">
        <f>B75/31</f>
        <v>5.4254838709677422</v>
      </c>
      <c r="E75" s="41">
        <f>B75/31*E70</f>
        <v>30.925258064516132</v>
      </c>
      <c r="F75" s="41">
        <f>B75/31*F70</f>
        <v>61.850516129032265</v>
      </c>
      <c r="G75" t="s">
        <v>189</v>
      </c>
      <c r="H75" t="s">
        <v>265</v>
      </c>
      <c r="I75" s="37">
        <v>0.02</v>
      </c>
      <c r="J75" s="37">
        <v>0.02</v>
      </c>
    </row>
    <row r="76" spans="1:12" hidden="1" outlineLevel="2" x14ac:dyDescent="0.2">
      <c r="A76" t="s">
        <v>266</v>
      </c>
      <c r="B76">
        <v>158.21</v>
      </c>
      <c r="C76" t="s">
        <v>189</v>
      </c>
      <c r="D76" s="41">
        <f>B76/30</f>
        <v>5.2736666666666672</v>
      </c>
      <c r="E76" s="41">
        <f>B76/30*E70</f>
        <v>30.059900000000003</v>
      </c>
      <c r="F76" s="41">
        <f>B76/30*F70</f>
        <v>60.119800000000005</v>
      </c>
      <c r="G76" t="s">
        <v>189</v>
      </c>
      <c r="H76" t="s">
        <v>267</v>
      </c>
      <c r="I76" s="37">
        <v>5.0000000000000001E-3</v>
      </c>
      <c r="J76" s="37">
        <v>5.0000000000000001E-3</v>
      </c>
    </row>
    <row r="77" spans="1:12" hidden="1" outlineLevel="2" x14ac:dyDescent="0.2">
      <c r="A77" t="s">
        <v>268</v>
      </c>
      <c r="B77">
        <v>165.71</v>
      </c>
      <c r="C77" t="s">
        <v>189</v>
      </c>
      <c r="D77" s="41">
        <f>B77/31</f>
        <v>5.3454838709677421</v>
      </c>
      <c r="E77" s="41">
        <f>B77/31*E70</f>
        <v>30.469258064516133</v>
      </c>
      <c r="F77" s="41">
        <f>B77/31*F70</f>
        <v>60.938516129032266</v>
      </c>
      <c r="G77" t="s">
        <v>189</v>
      </c>
      <c r="H77" t="s">
        <v>269</v>
      </c>
      <c r="I77" s="37">
        <v>1.4999999999999999E-2</v>
      </c>
      <c r="J77" s="37">
        <v>1.4999999999999999E-2</v>
      </c>
    </row>
    <row r="78" spans="1:12" hidden="1" outlineLevel="2" x14ac:dyDescent="0.2">
      <c r="A78" t="s">
        <v>270</v>
      </c>
      <c r="B78">
        <v>163.99</v>
      </c>
      <c r="C78" t="s">
        <v>189</v>
      </c>
      <c r="D78" s="41">
        <f>B78/31</f>
        <v>5.29</v>
      </c>
      <c r="E78" s="41">
        <f>B78/31*E70</f>
        <v>30.153000000000002</v>
      </c>
      <c r="F78" s="41">
        <f>B78/31*F70</f>
        <v>60.306000000000004</v>
      </c>
      <c r="G78" t="s">
        <v>189</v>
      </c>
      <c r="H78" t="s">
        <v>271</v>
      </c>
      <c r="I78" s="37">
        <v>0.01</v>
      </c>
      <c r="J78" s="37">
        <v>0.01</v>
      </c>
    </row>
    <row r="79" spans="1:12" hidden="1" outlineLevel="2" x14ac:dyDescent="0.2">
      <c r="A79" t="s">
        <v>272</v>
      </c>
      <c r="B79">
        <v>146.22</v>
      </c>
      <c r="C79" t="s">
        <v>189</v>
      </c>
      <c r="D79" s="41">
        <f>B79/30</f>
        <v>4.8739999999999997</v>
      </c>
      <c r="E79" s="41">
        <f>B79/30*E70</f>
        <v>27.7818</v>
      </c>
      <c r="F79" s="41">
        <f>B79/30*F70</f>
        <v>55.563600000000001</v>
      </c>
      <c r="G79" t="s">
        <v>189</v>
      </c>
      <c r="H79" t="s">
        <v>273</v>
      </c>
      <c r="I79" s="37">
        <v>0</v>
      </c>
      <c r="J79" s="37">
        <v>0</v>
      </c>
    </row>
    <row r="80" spans="1:12" hidden="1" outlineLevel="2" x14ac:dyDescent="0.2">
      <c r="A80" t="s">
        <v>274</v>
      </c>
      <c r="B80">
        <v>131.81</v>
      </c>
      <c r="C80" t="s">
        <v>189</v>
      </c>
      <c r="D80" s="41">
        <f>B80/31</f>
        <v>4.2519354838709678</v>
      </c>
      <c r="E80" s="41">
        <f>B80/31*E70</f>
        <v>24.236032258064515</v>
      </c>
      <c r="F80" s="41">
        <f>B80/31*F70</f>
        <v>48.472064516129031</v>
      </c>
      <c r="G80" t="s">
        <v>189</v>
      </c>
      <c r="H80" t="s">
        <v>275</v>
      </c>
      <c r="I80" s="37">
        <v>0.03</v>
      </c>
      <c r="J80" s="37">
        <v>0.03</v>
      </c>
    </row>
    <row r="81" spans="1:14" hidden="1" outlineLevel="2" x14ac:dyDescent="0.2">
      <c r="A81" t="s">
        <v>276</v>
      </c>
      <c r="B81">
        <v>115.32</v>
      </c>
      <c r="C81" t="s">
        <v>189</v>
      </c>
      <c r="D81" s="41">
        <f>B81/30</f>
        <v>3.8439999999999999</v>
      </c>
      <c r="E81" s="41">
        <f>B81/30*E70</f>
        <v>21.910799999999998</v>
      </c>
      <c r="F81" s="41">
        <f>B81/30*F70</f>
        <v>43.821599999999997</v>
      </c>
      <c r="G81" t="s">
        <v>189</v>
      </c>
    </row>
    <row r="82" spans="1:14" hidden="1" outlineLevel="2" x14ac:dyDescent="0.2">
      <c r="A82" s="32" t="s">
        <v>277</v>
      </c>
      <c r="B82" s="32">
        <v>106.57</v>
      </c>
      <c r="C82" s="32" t="s">
        <v>189</v>
      </c>
      <c r="D82" s="52">
        <f>B82/31</f>
        <v>3.4377419354838707</v>
      </c>
      <c r="E82" s="52">
        <f>B82/31*E70</f>
        <v>19.595129032258065</v>
      </c>
      <c r="F82" s="52">
        <f>B82/31*F70</f>
        <v>39.190258064516129</v>
      </c>
      <c r="G82" t="s">
        <v>189</v>
      </c>
      <c r="H82" t="s">
        <v>278</v>
      </c>
      <c r="I82" s="55">
        <f>1-((1-I71)*(1-I72)*(1-I73)*(1-I74)*(1-I75)*(1-I76)*(1-I77)*(1-I78)*(1-I79)*(1-I80))</f>
        <v>0.14075660688264469</v>
      </c>
      <c r="J82" s="55">
        <f>1-((1-J71)*(1-J72)*(1-J73)*(1-J74)*(1-J75)*(1-J76)*(1-J77)*(1-J78)*(1-J79)*(1-J80))</f>
        <v>0.12409780640383883</v>
      </c>
    </row>
    <row r="83" spans="1:14" hidden="1" outlineLevel="2" x14ac:dyDescent="0.2">
      <c r="C83" t="s">
        <v>71</v>
      </c>
      <c r="D83" s="51">
        <f>MAX(D71:D82)</f>
        <v>5.4254838709677422</v>
      </c>
      <c r="E83" s="51">
        <f>MAX(E71:E82)</f>
        <v>30.925258064516132</v>
      </c>
      <c r="F83" s="51">
        <f>MAX(F71:F82)</f>
        <v>61.850516129032265</v>
      </c>
      <c r="G83" t="s">
        <v>189</v>
      </c>
      <c r="I83">
        <f>I82*100</f>
        <v>14.075660688264469</v>
      </c>
      <c r="J83">
        <f>J82*100</f>
        <v>12.409780640383882</v>
      </c>
    </row>
    <row r="84" spans="1:14" hidden="1" outlineLevel="2" x14ac:dyDescent="0.2">
      <c r="C84" t="s">
        <v>70</v>
      </c>
      <c r="D84" s="50">
        <f>MIN(D71:D82)</f>
        <v>3.4377419354838707</v>
      </c>
      <c r="E84" s="50">
        <f>MIN(E71:E82)</f>
        <v>19.595129032258065</v>
      </c>
      <c r="F84" s="50">
        <f>MIN(F71:F82)</f>
        <v>39.190258064516129</v>
      </c>
      <c r="G84" t="s">
        <v>189</v>
      </c>
      <c r="I84">
        <f>IF(B66="O/H",J83,I83)</f>
        <v>12.409780640383882</v>
      </c>
    </row>
    <row r="85" spans="1:14" outlineLevel="1" collapsed="1" x14ac:dyDescent="0.2"/>
    <row r="86" spans="1:14" outlineLevel="1" x14ac:dyDescent="0.2">
      <c r="A86" s="8" t="s">
        <v>279</v>
      </c>
      <c r="B86" s="219" t="s">
        <v>280</v>
      </c>
      <c r="C86" s="220"/>
      <c r="D86" s="220"/>
      <c r="N86" t="s">
        <v>281</v>
      </c>
    </row>
    <row r="87" spans="1:14" outlineLevel="1" x14ac:dyDescent="0.2">
      <c r="B87" s="2" t="s">
        <v>282</v>
      </c>
      <c r="C87" s="48">
        <f>B62</f>
        <v>1</v>
      </c>
      <c r="D87" s="47">
        <f>G56/2</f>
        <v>5.7</v>
      </c>
      <c r="E87" s="47">
        <f>G56</f>
        <v>11.4</v>
      </c>
      <c r="F87" s="42" t="s">
        <v>283</v>
      </c>
      <c r="N87" t="s">
        <v>284</v>
      </c>
    </row>
    <row r="88" spans="1:14" outlineLevel="1" x14ac:dyDescent="0.2">
      <c r="A88" s="47" t="s">
        <v>285</v>
      </c>
      <c r="B88" s="226">
        <f>B58*'Ref Bat &amp; Sol'!B2/(F49/1000/24)</f>
        <v>34.196830710069236</v>
      </c>
      <c r="C88" s="49">
        <f>IF(ROUND($B$58*'Ref Bat &amp; Sol'!$B$2/(($F$49/1000-D83)/24),1)&lt;0,"indefinite",ROUND($B$58*'Ref Bat &amp; Sol'!$B$2/(($F$49/1000-D83)/24),1))</f>
        <v>56.7</v>
      </c>
      <c r="D88" s="49" t="str">
        <f>IF(ROUND($B$58*'Ref Bat &amp; Sol'!$B$2/(($F$49/1000-E83)/24),1)&lt;0,"indefinite",ROUND($B$58*'Ref Bat &amp; Sol'!$B$2/(($F$49/1000-E83)/24),1))</f>
        <v>indefinite</v>
      </c>
      <c r="E88" s="49" t="str">
        <f>IF(ROUND($B$58*'Ref Bat &amp; Sol'!$B$2/(($F$49/1000-F83)/24),1)&lt;0,"indefinite",ROUND($B$58*'Ref Bat &amp; Sol'!$B$2/(($F$49/1000-F83)/24),1))</f>
        <v>indefinite</v>
      </c>
      <c r="N88" s="54" t="s">
        <v>286</v>
      </c>
    </row>
    <row r="89" spans="1:14" outlineLevel="1" x14ac:dyDescent="0.2">
      <c r="A89" s="47" t="s">
        <v>287</v>
      </c>
      <c r="B89" s="227"/>
      <c r="C89" s="23">
        <f>IF(ROUND($B$58*'Ref Bat &amp; Sol'!$B$2/(($F$49/1000-D84)/24),1)&lt;0,"indefinite",ROUND($B$58*'Ref Bat &amp; Sol'!$B$2/(($F$49/1000-D84)/24),1))</f>
        <v>45.7</v>
      </c>
      <c r="D89" s="23" t="str">
        <f>IF(ROUND($B$58*'Ref Bat &amp; Sol'!$B$2/(($F$49/1000-E84)/24),1)&lt;0,"indefinite",ROUND($B$58*'Ref Bat &amp; Sol'!$B$2/(($F$49/1000-E84)/24),1))</f>
        <v>indefinite</v>
      </c>
      <c r="E89" s="23" t="str">
        <f>IF(ROUND($B$58*'Ref Bat &amp; Sol'!$B$2/(($F$49/1000-F84)/24),1)&lt;0,"indefinite",ROUND($B$58*'Ref Bat &amp; Sol'!$B$2/(($F$49/1000-F84)/24),1))</f>
        <v>indefinite</v>
      </c>
      <c r="N89" t="s">
        <v>288</v>
      </c>
    </row>
    <row r="90" spans="1:14" outlineLevel="1" x14ac:dyDescent="0.2">
      <c r="A90" s="47" t="s">
        <v>211</v>
      </c>
      <c r="B90" s="49">
        <f>$B$58*'Ref Bat &amp; Sol'!$B$2*1000/('Battery + Solar'!$A$43+'Ref Bat &amp; Sol'!$D$2)*(1-E22)</f>
        <v>2.2471190781049937</v>
      </c>
    </row>
    <row r="91" spans="1:14" outlineLevel="1" x14ac:dyDescent="0.2">
      <c r="A91" s="57"/>
      <c r="B91" s="57"/>
    </row>
    <row r="92" spans="1:14" outlineLevel="1" x14ac:dyDescent="0.2">
      <c r="A92" s="221" t="s">
        <v>289</v>
      </c>
      <c r="B92" s="222"/>
      <c r="C92" s="222"/>
      <c r="D92" s="222"/>
    </row>
    <row r="93" spans="1:14" outlineLevel="1" x14ac:dyDescent="0.2">
      <c r="A93" s="223" t="s">
        <v>290</v>
      </c>
      <c r="B93" s="224"/>
      <c r="C93" s="225"/>
      <c r="D93" s="76">
        <v>0.3</v>
      </c>
    </row>
    <row r="94" spans="1:14" outlineLevel="1" x14ac:dyDescent="0.2">
      <c r="A94" s="223" t="s">
        <v>291</v>
      </c>
      <c r="B94" s="224"/>
      <c r="C94" s="225"/>
      <c r="D94" s="56">
        <f>(B58-((F49*D93)/1000))/B58</f>
        <v>0.79471781874999992</v>
      </c>
    </row>
    <row r="95" spans="1:14" ht="17" outlineLevel="1" thickBot="1" x14ac:dyDescent="0.25">
      <c r="A95" s="43"/>
      <c r="B95" s="43"/>
      <c r="C95" s="43"/>
      <c r="D95" s="43"/>
      <c r="E95" s="43"/>
      <c r="F95" s="43"/>
      <c r="G95" s="43"/>
      <c r="H95" s="43"/>
      <c r="I95" s="43"/>
    </row>
    <row r="97" spans="1:14" ht="17" thickBot="1" x14ac:dyDescent="0.25">
      <c r="A97" s="219" t="s">
        <v>66</v>
      </c>
      <c r="B97" s="220"/>
      <c r="C97" s="220"/>
      <c r="D97" s="220"/>
      <c r="F97" s="219" t="s">
        <v>66</v>
      </c>
      <c r="G97" s="220"/>
      <c r="N97" t="s">
        <v>239</v>
      </c>
    </row>
    <row r="98" spans="1:14" ht="17" thickBot="1" x14ac:dyDescent="0.25">
      <c r="A98" s="177" t="s">
        <v>69</v>
      </c>
      <c r="B98" s="177"/>
      <c r="C98" s="178"/>
      <c r="D98" s="27">
        <v>52</v>
      </c>
      <c r="F98">
        <f>IF(D99="Module Qty",D98,ROUNDUP(D98*1000/D8,0))</f>
        <v>52</v>
      </c>
      <c r="G98" t="s">
        <v>74</v>
      </c>
      <c r="N98" t="s">
        <v>292</v>
      </c>
    </row>
    <row r="99" spans="1:14" ht="17" thickBot="1" x14ac:dyDescent="0.25">
      <c r="A99" s="177" t="s">
        <v>293</v>
      </c>
      <c r="B99" s="177"/>
      <c r="C99" s="178"/>
      <c r="D99" s="27" t="s">
        <v>74</v>
      </c>
      <c r="F99" s="23">
        <f>D98*D8/1000</f>
        <v>15.6</v>
      </c>
      <c r="G99" s="23" t="s">
        <v>229</v>
      </c>
    </row>
    <row r="100" spans="1:14" ht="17" thickBot="1" x14ac:dyDescent="0.25">
      <c r="A100" s="177" t="s">
        <v>294</v>
      </c>
      <c r="B100" s="177"/>
      <c r="C100" s="178"/>
      <c r="D100" s="27">
        <v>200</v>
      </c>
      <c r="E100" t="s">
        <v>78</v>
      </c>
    </row>
    <row r="101" spans="1:14" ht="17" thickBot="1" x14ac:dyDescent="0.25">
      <c r="A101" s="43"/>
      <c r="B101" s="43"/>
      <c r="C101" s="43"/>
      <c r="D101" s="43"/>
      <c r="E101" s="43"/>
      <c r="F101" s="43"/>
      <c r="G101" s="43"/>
      <c r="H101" s="43"/>
      <c r="I101" s="43"/>
      <c r="J101" s="43"/>
    </row>
    <row r="102" spans="1:14" hidden="1" outlineLevel="1" x14ac:dyDescent="0.2"/>
    <row r="103" spans="1:14" hidden="1" outlineLevel="1" x14ac:dyDescent="0.2">
      <c r="A103" s="8" t="s">
        <v>38</v>
      </c>
      <c r="D103" s="8" t="s">
        <v>39</v>
      </c>
    </row>
    <row r="104" spans="1:14" hidden="1" outlineLevel="1" x14ac:dyDescent="0.2">
      <c r="A104" t="s">
        <v>40</v>
      </c>
      <c r="B104" s="3">
        <v>25</v>
      </c>
      <c r="C104">
        <f>IF(D17="Rooftop",25,30)</f>
        <v>25</v>
      </c>
      <c r="D104" t="s">
        <v>41</v>
      </c>
      <c r="E104" s="3">
        <v>100</v>
      </c>
      <c r="F104" t="s">
        <v>42</v>
      </c>
      <c r="H104">
        <f>IF(D11="C",D12,D12*5/9+32)</f>
        <v>-10</v>
      </c>
    </row>
    <row r="105" spans="1:14" hidden="1" outlineLevel="1" x14ac:dyDescent="0.2">
      <c r="A105" t="s">
        <v>43</v>
      </c>
      <c r="B105" s="4">
        <f>B104-H104</f>
        <v>35</v>
      </c>
      <c r="C105" t="s">
        <v>44</v>
      </c>
      <c r="D105" t="s">
        <v>45</v>
      </c>
      <c r="E105" s="3">
        <v>600</v>
      </c>
      <c r="F105" t="s">
        <v>42</v>
      </c>
      <c r="H105">
        <f>IF(D11="C",D13,D13*5/9+32)</f>
        <v>55</v>
      </c>
    </row>
    <row r="106" spans="1:14" hidden="1" outlineLevel="1" x14ac:dyDescent="0.2">
      <c r="A106" t="s">
        <v>46</v>
      </c>
      <c r="B106" s="5">
        <f>B105*D6*-1</f>
        <v>9.4500000000000001E-2</v>
      </c>
      <c r="D106" t="s">
        <v>47</v>
      </c>
      <c r="E106" s="3">
        <v>13.5</v>
      </c>
      <c r="F106" t="s">
        <v>48</v>
      </c>
    </row>
    <row r="107" spans="1:14" hidden="1" outlineLevel="1" x14ac:dyDescent="0.2">
      <c r="A107" t="s">
        <v>49</v>
      </c>
      <c r="B107" s="6">
        <f>D2*B106</f>
        <v>3.7800000000000002</v>
      </c>
      <c r="C107" t="s">
        <v>50</v>
      </c>
      <c r="D107">
        <v>3.8</v>
      </c>
      <c r="E107" s="3">
        <v>3800</v>
      </c>
      <c r="F107" t="s">
        <v>51</v>
      </c>
    </row>
    <row r="108" spans="1:14" hidden="1" outlineLevel="1" x14ac:dyDescent="0.2">
      <c r="A108" t="s">
        <v>52</v>
      </c>
      <c r="B108" s="7">
        <f>B107+D2</f>
        <v>43.78</v>
      </c>
      <c r="C108" t="s">
        <v>50</v>
      </c>
      <c r="D108">
        <v>7.6</v>
      </c>
      <c r="E108" s="3">
        <v>7600</v>
      </c>
      <c r="F108" t="s">
        <v>51</v>
      </c>
    </row>
    <row r="109" spans="1:14" hidden="1" outlineLevel="1" x14ac:dyDescent="0.2">
      <c r="D109">
        <v>11.4</v>
      </c>
      <c r="E109" s="3">
        <v>11400</v>
      </c>
      <c r="F109" t="s">
        <v>51</v>
      </c>
    </row>
    <row r="110" spans="1:14" hidden="1" outlineLevel="1" x14ac:dyDescent="0.2">
      <c r="B110" s="6"/>
      <c r="D110" t="s">
        <v>295</v>
      </c>
      <c r="E110" s="6">
        <f>ROUNDUP(E104/B111,0)</f>
        <v>5</v>
      </c>
    </row>
    <row r="111" spans="1:14" hidden="1" outlineLevel="1" x14ac:dyDescent="0.2">
      <c r="A111" t="s">
        <v>55</v>
      </c>
      <c r="B111" s="6">
        <f>(D3-(D3*D7*-1*(H105+C104-B104)))</f>
        <v>24.72</v>
      </c>
      <c r="C111" t="s">
        <v>50</v>
      </c>
      <c r="D111" t="s">
        <v>56</v>
      </c>
      <c r="E111" s="6">
        <f>MIN(ROUNDDOWN(E105/B108,0),ROUNDDOWN(IF(D16=240,3800*'Ref Solar'!I2,3290*'Ref Solar'!I3)/2/D8,0))</f>
        <v>6</v>
      </c>
    </row>
    <row r="112" spans="1:14" hidden="1" outlineLevel="1" x14ac:dyDescent="0.2">
      <c r="D112" t="s">
        <v>58</v>
      </c>
      <c r="E112" s="6">
        <f>MIN(ROUNDDOWN(E105/B108,0),ROUNDDOWN(IF(D16=240,15200*'Ref Solar'!K2,13160*'Ref Solar'!K3)/3/D8,0))</f>
        <v>13</v>
      </c>
    </row>
    <row r="113" spans="1:14" hidden="1" outlineLevel="1" x14ac:dyDescent="0.2">
      <c r="A113" s="8" t="s">
        <v>60</v>
      </c>
      <c r="D113" t="s">
        <v>61</v>
      </c>
      <c r="E113" s="6">
        <f>MIN(ROUNDDOWN(E105/B108,0),ROUNDDOWN(IF(D16=240,22800*'Ref Solar'!M2,19760*'Ref Solar'!M3)/4/D8,0))</f>
        <v>13</v>
      </c>
    </row>
    <row r="114" spans="1:14" hidden="1" outlineLevel="1" x14ac:dyDescent="0.2">
      <c r="A114" t="s">
        <v>62</v>
      </c>
      <c r="B114" s="6">
        <f>D98*D8</f>
        <v>15600</v>
      </c>
    </row>
    <row r="115" spans="1:14" hidden="1" outlineLevel="1" x14ac:dyDescent="0.2">
      <c r="A115" t="s">
        <v>63</v>
      </c>
      <c r="B115" s="6" cm="1">
        <f t="array" ref="B115">INDEX('Ref Bat &amp; Sol'!C6:C12,MATCH(TRUE,'Ref Bat &amp; Sol'!B6:B12&gt;=D98,0))</f>
        <v>6</v>
      </c>
    </row>
    <row r="116" spans="1:14" collapsed="1" x14ac:dyDescent="0.2"/>
    <row r="117" spans="1:14" x14ac:dyDescent="0.2">
      <c r="A117" s="210" t="s">
        <v>296</v>
      </c>
      <c r="B117" s="212"/>
      <c r="D117" s="210" t="s">
        <v>297</v>
      </c>
      <c r="E117" s="212"/>
      <c r="G117" s="210" t="s">
        <v>298</v>
      </c>
      <c r="H117" s="212"/>
      <c r="N117" t="s">
        <v>281</v>
      </c>
    </row>
    <row r="118" spans="1:14" x14ac:dyDescent="0.2">
      <c r="A118" s="2" t="s">
        <v>70</v>
      </c>
      <c r="B118" s="2" t="s">
        <v>71</v>
      </c>
      <c r="D118" s="2" t="s">
        <v>70</v>
      </c>
      <c r="E118" s="2" t="s">
        <v>71</v>
      </c>
      <c r="G118" s="2" t="s">
        <v>70</v>
      </c>
      <c r="H118" s="2" t="s">
        <v>71</v>
      </c>
      <c r="N118" t="s">
        <v>299</v>
      </c>
    </row>
    <row r="119" spans="1:14" x14ac:dyDescent="0.2">
      <c r="A119" s="13">
        <f>E110</f>
        <v>5</v>
      </c>
      <c r="B119" s="13">
        <f>E111</f>
        <v>6</v>
      </c>
      <c r="D119" s="13">
        <f>E110</f>
        <v>5</v>
      </c>
      <c r="E119" s="13">
        <f>E112</f>
        <v>13</v>
      </c>
      <c r="G119" s="13">
        <f>E110</f>
        <v>5</v>
      </c>
      <c r="H119" s="13">
        <f>E113</f>
        <v>13</v>
      </c>
    </row>
    <row r="120" spans="1:14" x14ac:dyDescent="0.2">
      <c r="A120" s="21"/>
      <c r="B120" s="21"/>
    </row>
    <row r="121" spans="1:14" x14ac:dyDescent="0.2">
      <c r="B121" s="22" t="s">
        <v>86</v>
      </c>
      <c r="E121" s="22"/>
      <c r="H121" s="22"/>
    </row>
    <row r="122" spans="1:14" x14ac:dyDescent="0.2">
      <c r="A122" s="10" t="s">
        <v>88</v>
      </c>
      <c r="B122" s="63">
        <f>IF(D98&gt;2*E111,0,IF(D16=240,IF(F99&lt;2*3.8,1,0),IF(F99&lt;2*3.29,1,0)))</f>
        <v>0</v>
      </c>
      <c r="D122" s="10"/>
      <c r="G122" s="10"/>
    </row>
    <row r="123" spans="1:14" x14ac:dyDescent="0.2">
      <c r="K123" s="20"/>
    </row>
    <row r="124" spans="1:14" x14ac:dyDescent="0.2">
      <c r="A124" s="216" t="s">
        <v>90</v>
      </c>
      <c r="B124" s="217"/>
    </row>
    <row r="125" spans="1:14" x14ac:dyDescent="0.2">
      <c r="A125" s="2" t="s">
        <v>93</v>
      </c>
      <c r="B125" s="19" t="s">
        <v>74</v>
      </c>
    </row>
    <row r="126" spans="1:14" x14ac:dyDescent="0.2">
      <c r="A126" s="23">
        <v>1</v>
      </c>
      <c r="B126" s="23" t="str">
        <f>IF($B$122&lt;&gt;0,VLOOKUP(B115,'Ref Bat &amp; Sol'!J:S,2,FALSE),"-")</f>
        <v>-</v>
      </c>
    </row>
    <row r="127" spans="1:14" x14ac:dyDescent="0.2">
      <c r="A127" s="23">
        <v>2</v>
      </c>
      <c r="B127" s="23" t="str">
        <f>IF($B$122&lt;&gt;0,VLOOKUP(B115,'Ref Bat &amp; Sol'!J:S,3,FALSE),"-")</f>
        <v>-</v>
      </c>
    </row>
    <row r="128" spans="1:14" x14ac:dyDescent="0.2">
      <c r="A128" t="s">
        <v>94</v>
      </c>
      <c r="B128" s="20">
        <f>SUM(B126:B127)*D8/(E107)</f>
        <v>0</v>
      </c>
      <c r="E128" s="20"/>
      <c r="H128" s="20"/>
    </row>
    <row r="130" spans="1:8" x14ac:dyDescent="0.2">
      <c r="B130" s="22" t="s">
        <v>86</v>
      </c>
      <c r="C130" s="12"/>
    </row>
    <row r="131" spans="1:8" x14ac:dyDescent="0.2">
      <c r="A131" s="10" t="s">
        <v>95</v>
      </c>
      <c r="B131" s="63">
        <f>IF(B122=1,0,VLOOKUP(MAX(B115),'Ref Solar'!C8:G14,3,FALSE))</f>
        <v>2</v>
      </c>
      <c r="C131" s="20"/>
    </row>
    <row r="132" spans="1:8" x14ac:dyDescent="0.2">
      <c r="G132" s="20"/>
    </row>
    <row r="133" spans="1:8" x14ac:dyDescent="0.2">
      <c r="A133" s="216" t="s">
        <v>90</v>
      </c>
      <c r="B133" s="217"/>
      <c r="D133" s="216" t="s">
        <v>91</v>
      </c>
      <c r="E133" s="217"/>
      <c r="G133" s="216" t="s">
        <v>92</v>
      </c>
      <c r="H133" s="217"/>
    </row>
    <row r="134" spans="1:8" x14ac:dyDescent="0.2">
      <c r="A134" s="2" t="s">
        <v>93</v>
      </c>
      <c r="B134" s="19" t="s">
        <v>74</v>
      </c>
      <c r="D134" s="2" t="s">
        <v>93</v>
      </c>
      <c r="E134" s="19" t="s">
        <v>74</v>
      </c>
      <c r="G134" s="2" t="s">
        <v>93</v>
      </c>
      <c r="H134" s="19" t="s">
        <v>74</v>
      </c>
    </row>
    <row r="135" spans="1:8" x14ac:dyDescent="0.2">
      <c r="A135" s="23">
        <v>1</v>
      </c>
      <c r="B135" s="23">
        <f>IF($B$131&lt;&gt;0,VLOOKUP(B115,'Ref Bat &amp; Sol'!J:S,2,FALSE),"-")</f>
        <v>8</v>
      </c>
      <c r="D135" s="23">
        <v>1</v>
      </c>
      <c r="E135" s="23">
        <f>IF($B$131&lt;&gt;0,IF(B131=1,"-",VLOOKUP($B$115,'Ref Bat &amp; Sol'!J:S,5,FALSE)),"-")</f>
        <v>9</v>
      </c>
      <c r="G135" s="23">
        <v>1</v>
      </c>
      <c r="H135" s="23" t="str">
        <f>IF($B$131&lt;&gt;0,IF(B131=2,"-",IF(B131=1,"-",VLOOKUP($B$115,'Ref Bat &amp; Sol'!J:S,8,FALSE))),"-")</f>
        <v>-</v>
      </c>
    </row>
    <row r="136" spans="1:8" x14ac:dyDescent="0.2">
      <c r="A136" s="23">
        <v>2</v>
      </c>
      <c r="B136" s="23">
        <f>IF($B$131&lt;&gt;0,VLOOKUP(B115,'Ref Bat &amp; Sol'!J:S,3,FALSE),"-")</f>
        <v>8</v>
      </c>
      <c r="D136" s="23">
        <v>2</v>
      </c>
      <c r="E136" s="23">
        <f>IF($B$131&lt;&gt;0,IF(B131=1,"-",VLOOKUP($B$115,'Ref Bat &amp; Sol'!J:S,6,FALSE)),"-")</f>
        <v>9</v>
      </c>
      <c r="G136" s="23">
        <v>2</v>
      </c>
      <c r="H136" s="23" t="str">
        <f>IF($B$131&lt;&gt;0,IF(B131=2,"-",IF(B131=1,"-",VLOOKUP($B$115,'Ref Bat &amp; Sol'!J:S,9,FALSE))),"-")</f>
        <v>-</v>
      </c>
    </row>
    <row r="137" spans="1:8" x14ac:dyDescent="0.2">
      <c r="A137" s="23">
        <v>3</v>
      </c>
      <c r="B137" s="23">
        <f>IF($B$131&lt;&gt;0,VLOOKUP(B115,'Ref Bat &amp; Sol'!J:S,4,FALSE),"-")</f>
        <v>9</v>
      </c>
      <c r="D137" s="23">
        <v>3</v>
      </c>
      <c r="E137" s="23">
        <f>IF($B$131&lt;&gt;0,IF(B131=1,"-",VLOOKUP($B$115,'Ref Bat &amp; Sol'!J:S,7,FALSE)),"-")</f>
        <v>9</v>
      </c>
      <c r="G137" s="23">
        <v>3</v>
      </c>
      <c r="H137" s="23" t="str">
        <f>IF($B$131&lt;&gt;0,IF(B131=2,"-",IF(B131=1,"-",VLOOKUP($B$115,'Ref Bat &amp; Sol'!J:S,10,FALSE))),"-")</f>
        <v>-</v>
      </c>
    </row>
    <row r="138" spans="1:8" x14ac:dyDescent="0.2">
      <c r="A138" t="s">
        <v>94</v>
      </c>
      <c r="B138" s="20">
        <f>SUM(B135:B137)*D8/(E108)</f>
        <v>0.98684210526315785</v>
      </c>
      <c r="D138" t="s">
        <v>94</v>
      </c>
      <c r="E138" s="20">
        <f>IFERROR(SUM(E135:E137)*D8/(E108),0)</f>
        <v>1.0657894736842106</v>
      </c>
      <c r="G138" t="s">
        <v>94</v>
      </c>
      <c r="H138" s="20">
        <f>IFERROR(SUM(H135:H137)*D8/(E108),0)</f>
        <v>0</v>
      </c>
    </row>
    <row r="140" spans="1:8" x14ac:dyDescent="0.2">
      <c r="A140" s="10" t="s">
        <v>96</v>
      </c>
      <c r="B140" s="22" t="s">
        <v>86</v>
      </c>
    </row>
    <row r="141" spans="1:8" x14ac:dyDescent="0.2">
      <c r="B141" s="63">
        <f>VLOOKUP(MAX(B115:B115),'Ref Bat &amp; Sol'!C8:G12,4,FALSE)</f>
        <v>0</v>
      </c>
    </row>
    <row r="143" spans="1:8" x14ac:dyDescent="0.2">
      <c r="A143" s="216" t="s">
        <v>90</v>
      </c>
      <c r="B143" s="217"/>
      <c r="D143" s="216" t="s">
        <v>91</v>
      </c>
      <c r="E143" s="217"/>
      <c r="G143" s="216" t="s">
        <v>92</v>
      </c>
      <c r="H143" s="217"/>
    </row>
    <row r="144" spans="1:8" ht="17" customHeight="1" x14ac:dyDescent="0.2">
      <c r="A144" s="2" t="s">
        <v>93</v>
      </c>
      <c r="B144" s="19" t="s">
        <v>74</v>
      </c>
      <c r="C144" s="12"/>
      <c r="D144" s="2" t="s">
        <v>93</v>
      </c>
      <c r="E144" s="19" t="s">
        <v>74</v>
      </c>
      <c r="G144" s="2" t="s">
        <v>93</v>
      </c>
      <c r="H144" s="19" t="s">
        <v>74</v>
      </c>
    </row>
    <row r="145" spans="1:8" x14ac:dyDescent="0.2">
      <c r="A145" s="23">
        <v>1</v>
      </c>
      <c r="B145" s="23" t="str">
        <f>IF(OR(B115=4,B115=8,B115=12),VLOOKUP(B115,'Ref Bat &amp; Sol'!J6:V13,2,FALSE),IF(OR(B115=7,B115=11),VLOOKUP(B115,'Ref Bat &amp; Sol'!J6:V13,5,FALSE),IF(B115=10,VLOOKUP(B115,'Ref Bat &amp; Sol'!J6:V13,8,FALSE),"-")))</f>
        <v>-</v>
      </c>
      <c r="D145" s="23">
        <v>1</v>
      </c>
      <c r="E145" s="23" t="str">
        <f>IF(OR(B115=8,B115=12),VLOOKUP(B115,'Ref Bat &amp; Sol'!J6:V13,6,FALSE),IF(B115=11,VLOOKUP(B115,'Ref Bat &amp; Sol'!J6:V13,9,FALSE),"-"))</f>
        <v>-</v>
      </c>
      <c r="G145" s="23">
        <v>1</v>
      </c>
      <c r="H145" s="23" t="str">
        <f>IF(B141=3,VLOOKUP(B115,'Ref Bat &amp; Sol'!J6:V13,10,FALSE),"-")</f>
        <v>-</v>
      </c>
    </row>
    <row r="146" spans="1:8" x14ac:dyDescent="0.2">
      <c r="A146" s="23">
        <v>2</v>
      </c>
      <c r="B146" s="23" t="str">
        <f>IF(OR(B115=4,B115=8,B115=12),VLOOKUP(B115,'Ref Bat &amp; Sol'!J6:V13,3,FALSE),IF(OR(B115=7,B115=11),VLOOKUP(B115,'Ref Bat &amp; Sol'!J6:V13,6,FALSE),IF(B115=10,VLOOKUP(B115,'Ref Bat &amp; Sol'!J6:V13,9,FALSE),"-")))</f>
        <v>-</v>
      </c>
      <c r="D146" s="23">
        <v>2</v>
      </c>
      <c r="E146" s="23" t="str">
        <f>IF(OR(B115=8,B115=12),VLOOKUP(B115,'Ref Bat &amp; Sol'!J6:V13,7,FALSE),IF(B115=11,VLOOKUP(B115,'Ref Bat &amp; Sol'!J6:V13,10,FALSE),"-"))</f>
        <v>-</v>
      </c>
      <c r="G146" s="23">
        <v>2</v>
      </c>
      <c r="H146" s="23" t="str">
        <f>IF(B141=3,VLOOKUP(B115,'Ref Bat &amp; Sol'!J6:V13,12,FALSE),"-")</f>
        <v>-</v>
      </c>
    </row>
    <row r="147" spans="1:8" x14ac:dyDescent="0.2">
      <c r="A147" s="23">
        <v>3</v>
      </c>
      <c r="B147" s="23" t="str">
        <f>IF(OR(B115=4,B115=8,B115=12),VLOOKUP(B115,'Ref Bat &amp; Sol'!J6:V13,4,FALSE),IF(OR(B115=7,B115=11),VLOOKUP(B115,'Ref Bat &amp; Sol'!J6:V13,7,FALSE),IF(B115=10,VLOOKUP(B115,'Ref Bat &amp; Sol'!J6:V13,10,FALSE),"-")))</f>
        <v>-</v>
      </c>
      <c r="D147" s="23">
        <v>3</v>
      </c>
      <c r="E147" s="23" t="str">
        <f>IF(OR(B115=8,B115=12),VLOOKUP(B115,'Ref Bat &amp; Sol'!J6:V13,8,FALSE),IF(B115=11,VLOOKUP(B115,'Ref Bat &amp; Sol'!J6:V13,11,FALSE),"-"))</f>
        <v>-</v>
      </c>
      <c r="G147" s="23">
        <v>3</v>
      </c>
      <c r="H147" s="23" t="str">
        <f>IF(B141=3,VLOOKUP(B115,'Ref Bat &amp; Sol'!J6:V13,12,FALSE),"-")</f>
        <v>-</v>
      </c>
    </row>
    <row r="148" spans="1:8" x14ac:dyDescent="0.2">
      <c r="A148" s="23">
        <v>4</v>
      </c>
      <c r="B148" s="23" t="str">
        <f>IF(OR(B115=4,B115=8,B115=12),VLOOKUP(B115,'Ref Bat &amp; Sol'!J6:V13,5,FALSE),IF(OR(B115=7,B115=11),VLOOKUP(B115,'Ref Bat &amp; Sol'!J6:V13,8,FALSE),IF(B115=10,VLOOKUP(B115,'Ref Bat &amp; Sol'!J6:V13,11,FALSE),"-")))</f>
        <v>-</v>
      </c>
      <c r="D148" s="23">
        <v>4</v>
      </c>
      <c r="E148" s="23" t="str">
        <f>IF(OR(B115=8,B115=12),VLOOKUP(B115,'Ref Bat &amp; Sol'!J6:V13,9,FALSE),IF(B115=11,VLOOKUP(B115,'Ref Bat &amp; Sol'!J6:V13,12,FALSE),"-"))</f>
        <v>-</v>
      </c>
      <c r="G148" s="23">
        <v>4</v>
      </c>
      <c r="H148" s="23" t="str">
        <f>IF(B141=3,VLOOKUP(B115,'Ref Bat &amp; Sol'!J6:V13,13,FALSE),"-")</f>
        <v>-</v>
      </c>
    </row>
    <row r="149" spans="1:8" x14ac:dyDescent="0.2">
      <c r="A149" t="s">
        <v>94</v>
      </c>
      <c r="B149" s="20">
        <f>SUM(B145:B148)*D8/(E109)</f>
        <v>0</v>
      </c>
      <c r="D149" t="s">
        <v>94</v>
      </c>
      <c r="E149" s="20">
        <f>IFERROR(SUM(E145:E148)*D8/(E109),0)</f>
        <v>0</v>
      </c>
      <c r="G149" t="s">
        <v>94</v>
      </c>
      <c r="H149" s="20">
        <f>IFERROR(SUM(H145:H148)*D8/(E109),0)</f>
        <v>0</v>
      </c>
    </row>
  </sheetData>
  <protectedRanges>
    <protectedRange sqref="B21" name="Range1_2_1"/>
    <protectedRange sqref="E21" name="Range1_1_1_1"/>
    <protectedRange sqref="D2:D8" name="Range1_2"/>
    <protectedRange sqref="D12:D14 E97" name="Range1_1_1"/>
  </protectedRanges>
  <mergeCells count="37">
    <mergeCell ref="C51:E51"/>
    <mergeCell ref="G51:H51"/>
    <mergeCell ref="A124:B124"/>
    <mergeCell ref="B86:D86"/>
    <mergeCell ref="A92:D92"/>
    <mergeCell ref="A94:C94"/>
    <mergeCell ref="A93:C93"/>
    <mergeCell ref="B88:B89"/>
    <mergeCell ref="F97:G97"/>
    <mergeCell ref="A97:D97"/>
    <mergeCell ref="A98:C98"/>
    <mergeCell ref="D117:E117"/>
    <mergeCell ref="G117:H117"/>
    <mergeCell ref="A117:B117"/>
    <mergeCell ref="A99:C99"/>
    <mergeCell ref="A100:C100"/>
    <mergeCell ref="A1:D1"/>
    <mergeCell ref="A10:D10"/>
    <mergeCell ref="A11:C11"/>
    <mergeCell ref="A12:C12"/>
    <mergeCell ref="A13:C13"/>
    <mergeCell ref="A15:D15"/>
    <mergeCell ref="A16:C16"/>
    <mergeCell ref="A17:C17"/>
    <mergeCell ref="D25:E25"/>
    <mergeCell ref="A20:E20"/>
    <mergeCell ref="A21:C21"/>
    <mergeCell ref="A22:C22"/>
    <mergeCell ref="A24:H24"/>
    <mergeCell ref="B25:C25"/>
    <mergeCell ref="H25:I25"/>
    <mergeCell ref="A143:B143"/>
    <mergeCell ref="D143:E143"/>
    <mergeCell ref="G143:H143"/>
    <mergeCell ref="G133:H133"/>
    <mergeCell ref="D133:E133"/>
    <mergeCell ref="A133:B133"/>
  </mergeCells>
  <conditionalFormatting sqref="B57">
    <cfRule type="cellIs" dxfId="10" priority="14" operator="lessThan">
      <formula>$A$43/1000</formula>
    </cfRule>
  </conditionalFormatting>
  <conditionalFormatting sqref="D4">
    <cfRule type="cellIs" dxfId="9" priority="7" operator="greaterThan">
      <formula>16.9</formula>
    </cfRule>
  </conditionalFormatting>
  <conditionalFormatting sqref="D5">
    <cfRule type="cellIs" dxfId="8" priority="6" operator="greaterThan">
      <formula>13.5</formula>
    </cfRule>
  </conditionalFormatting>
  <conditionalFormatting sqref="D8">
    <cfRule type="cellIs" dxfId="7" priority="5" operator="greaterThan">
      <formula>700</formula>
    </cfRule>
  </conditionalFormatting>
  <conditionalFormatting sqref="D98">
    <cfRule type="cellIs" dxfId="6" priority="28" operator="greaterThan">
      <formula>$G$52</formula>
    </cfRule>
    <cfRule type="cellIs" dxfId="5" priority="29" operator="lessThan">
      <formula>$E$110</formula>
    </cfRule>
    <cfRule type="cellIs" dxfId="4" priority="30" operator="greaterThan">
      <formula>$E$113*12</formula>
    </cfRule>
  </conditionalFormatting>
  <conditionalFormatting sqref="D100">
    <cfRule type="cellIs" dxfId="3" priority="1" operator="greaterThan">
      <formula>200</formula>
    </cfRule>
    <cfRule type="cellIs" dxfId="2" priority="2" operator="lessThan">
      <formula>100</formula>
    </cfRule>
  </conditionalFormatting>
  <conditionalFormatting sqref="E22">
    <cfRule type="cellIs" dxfId="1" priority="3" operator="lessThan">
      <formula>0.1</formula>
    </cfRule>
    <cfRule type="cellIs" dxfId="0" priority="4" operator="greaterThan">
      <formula>0.5</formula>
    </cfRule>
  </conditionalFormatting>
  <dataValidations disablePrompts="1" count="14">
    <dataValidation type="list" allowBlank="1" showInputMessage="1" showErrorMessage="1" sqref="A26:A38" xr:uid="{06565942-759D-D844-A471-46E94111843A}">
      <formula1>Loads</formula1>
    </dataValidation>
    <dataValidation type="decimal" operator="greaterThanOrEqual" allowBlank="1" showInputMessage="1" showErrorMessage="1" error="Can not be a negative number" sqref="E21" xr:uid="{89154BB8-92E3-F146-B547-5AE9567BC387}">
      <formula1>0</formula1>
    </dataValidation>
    <dataValidation type="whole" operator="greaterThan" showInputMessage="1" showErrorMessage="1" error="Highest Temperature must be greater than Lowest Temperature" sqref="D13:D14" xr:uid="{8EC0D134-0F2D-E64D-8FFC-950F2B608469}">
      <formula1>D12</formula1>
    </dataValidation>
    <dataValidation type="list" allowBlank="1" showInputMessage="1" showErrorMessage="1" sqref="D11" xr:uid="{D768090A-AE36-F540-9B4A-184F0F95FE6D}">
      <formula1>Degrees</formula1>
    </dataValidation>
    <dataValidation type="decimal" operator="lessThan" showInputMessage="1" showErrorMessage="1" error="Lowest Temperature must be less than Highest Temperature" sqref="D12" xr:uid="{4DC9758E-390F-8244-8291-AE903AB3B5D2}">
      <formula1>D13</formula1>
    </dataValidation>
    <dataValidation type="list" allowBlank="1" showInputMessage="1" showErrorMessage="1" sqref="D16" xr:uid="{17FF28F0-EF5F-EB4A-9854-1250F8074F9E}">
      <formula1>GridVoltage</formula1>
    </dataValidation>
    <dataValidation type="decimal" operator="lessThan" allowBlank="1" showInputMessage="1" showErrorMessage="1" error="Voc must be greater than Vmp" sqref="D3" xr:uid="{AB88B9AA-0204-0542-AB0B-F4CBD2C98D6E}">
      <formula1>D2</formula1>
    </dataValidation>
    <dataValidation type="decimal" operator="greaterThan" allowBlank="1" showInputMessage="1" showErrorMessage="1" error="Voc must be greater than Vmp" sqref="D2" xr:uid="{8072FDFB-E69A-9946-9185-16776AEA5D7B}">
      <formula1>D3</formula1>
    </dataValidation>
    <dataValidation type="decimal" operator="greaterThan" allowBlank="1" showInputMessage="1" showErrorMessage="1" error="Isc must be greater than Imp" sqref="D4" xr:uid="{325C311F-B55F-AA48-9D63-02040E39725E}">
      <formula1>D5</formula1>
    </dataValidation>
    <dataValidation type="decimal" operator="lessThan" allowBlank="1" showInputMessage="1" showErrorMessage="1" error="Isc must be greater than Imp" sqref="D5" xr:uid="{D4EF8046-5F7E-054D-B624-583F2D627535}">
      <formula1>D4</formula1>
    </dataValidation>
    <dataValidation type="decimal" operator="greaterThanOrEqual" allowBlank="1" showInputMessage="1" showErrorMessage="1" error="Power can not be 0" sqref="D8" xr:uid="{A27E835B-579D-4F44-9DBC-95B819A15321}">
      <formula1>0</formula1>
    </dataValidation>
    <dataValidation type="whole" operator="greaterThan" showInputMessage="1" showErrorMessage="1" error="Highest Temperature must be greater than Lowest Temperature" sqref="E97" xr:uid="{6B818525-7E57-0440-981C-634307331831}">
      <formula1>#REF!</formula1>
    </dataValidation>
    <dataValidation type="list" allowBlank="1" showInputMessage="1" showErrorMessage="1" sqref="B66" xr:uid="{660F63B5-6ED0-3D4D-88C6-12AD505AB9B8}">
      <formula1>Optimizers</formula1>
    </dataValidation>
    <dataValidation type="list" allowBlank="1" showInputMessage="1" showErrorMessage="1" sqref="D17" xr:uid="{A7CCDF92-AA56-2040-BB07-191C55D98498}">
      <formula1>Type</formula1>
    </dataValidation>
  </dataValidations>
  <hyperlinks>
    <hyperlink ref="E10" r:id="rId1" xr:uid="{CB0CE290-4C5A-E743-8FE7-280B876F8383}"/>
  </hyperlinks>
  <pageMargins left="0.7" right="0.7" top="0.75" bottom="0.75" header="0.3" footer="0.3"/>
  <pageSetup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CD10519-E120-4A4C-8CAE-203F533099AA}">
          <x14:formula1>
            <xm:f>'Ref Solar'!$B$2:$B$3</xm:f>
          </x14:formula1>
          <xm:sqref>D99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35F91-5580-9740-A17C-97DFB0C51A3F}">
  <dimension ref="A1:V106"/>
  <sheetViews>
    <sheetView zoomScale="200" zoomScaleNormal="200" workbookViewId="0">
      <selection activeCell="E33" sqref="E33"/>
    </sheetView>
  </sheetViews>
  <sheetFormatPr baseColWidth="10" defaultColWidth="11" defaultRowHeight="16" x14ac:dyDescent="0.2"/>
  <cols>
    <col min="1" max="1" width="11.5" bestFit="1" customWidth="1"/>
    <col min="2" max="2" width="11.5" customWidth="1"/>
    <col min="4" max="4" width="7" bestFit="1" customWidth="1"/>
    <col min="5" max="5" width="8" bestFit="1" customWidth="1"/>
    <col min="6" max="6" width="6.83203125" bestFit="1" customWidth="1"/>
    <col min="9" max="9" width="12.83203125" bestFit="1" customWidth="1"/>
    <col min="10" max="10" width="6.6640625" bestFit="1" customWidth="1"/>
    <col min="11" max="11" width="23.1640625" bestFit="1" customWidth="1"/>
    <col min="12" max="12" width="4.1640625" bestFit="1" customWidth="1"/>
    <col min="13" max="13" width="8" bestFit="1" customWidth="1"/>
    <col min="14" max="14" width="4.1640625" bestFit="1" customWidth="1"/>
    <col min="15" max="95" width="3.1640625" bestFit="1" customWidth="1"/>
  </cols>
  <sheetData>
    <row r="1" spans="1:22" x14ac:dyDescent="0.2">
      <c r="A1" t="s">
        <v>300</v>
      </c>
      <c r="B1" t="s">
        <v>301</v>
      </c>
      <c r="C1" t="s">
        <v>28</v>
      </c>
      <c r="D1" t="s">
        <v>302</v>
      </c>
      <c r="G1" t="s">
        <v>255</v>
      </c>
      <c r="H1" t="s">
        <v>303</v>
      </c>
      <c r="I1" t="s">
        <v>304</v>
      </c>
      <c r="K1" t="s">
        <v>305</v>
      </c>
      <c r="M1" t="s">
        <v>306</v>
      </c>
    </row>
    <row r="2" spans="1:22" x14ac:dyDescent="0.2">
      <c r="A2">
        <v>240</v>
      </c>
      <c r="B2" t="s">
        <v>76</v>
      </c>
      <c r="C2" t="s">
        <v>29</v>
      </c>
      <c r="D2">
        <v>50</v>
      </c>
      <c r="E2" t="s">
        <v>24</v>
      </c>
      <c r="G2" t="s">
        <v>248</v>
      </c>
      <c r="H2" t="s">
        <v>36</v>
      </c>
      <c r="I2" s="37">
        <v>0.97</v>
      </c>
      <c r="J2">
        <v>240</v>
      </c>
      <c r="K2" s="37">
        <v>0.97499999999999998</v>
      </c>
      <c r="L2">
        <v>240</v>
      </c>
      <c r="M2" s="37">
        <v>0.98</v>
      </c>
      <c r="N2">
        <v>240</v>
      </c>
    </row>
    <row r="3" spans="1:22" x14ac:dyDescent="0.2">
      <c r="A3">
        <v>208</v>
      </c>
      <c r="B3" t="s">
        <v>74</v>
      </c>
      <c r="C3" t="s">
        <v>307</v>
      </c>
      <c r="G3" t="s">
        <v>308</v>
      </c>
      <c r="H3" t="s">
        <v>309</v>
      </c>
      <c r="I3" s="37">
        <v>0.97</v>
      </c>
      <c r="J3">
        <v>208</v>
      </c>
      <c r="K3" s="37">
        <v>0.97</v>
      </c>
      <c r="L3">
        <v>208</v>
      </c>
      <c r="M3" s="37">
        <v>0.97499999999999998</v>
      </c>
      <c r="N3">
        <v>208</v>
      </c>
    </row>
    <row r="4" spans="1:22" x14ac:dyDescent="0.2">
      <c r="E4" t="s">
        <v>186</v>
      </c>
      <c r="K4" t="s">
        <v>310</v>
      </c>
    </row>
    <row r="5" spans="1:22" x14ac:dyDescent="0.2">
      <c r="A5" t="s">
        <v>311</v>
      </c>
      <c r="B5" t="s">
        <v>75</v>
      </c>
      <c r="C5" t="s">
        <v>312</v>
      </c>
      <c r="D5">
        <v>3.8</v>
      </c>
      <c r="E5">
        <v>7.6</v>
      </c>
      <c r="F5">
        <v>11.4</v>
      </c>
      <c r="G5" t="s">
        <v>313</v>
      </c>
      <c r="J5" t="s">
        <v>314</v>
      </c>
      <c r="K5">
        <v>1</v>
      </c>
      <c r="L5">
        <v>2</v>
      </c>
      <c r="M5">
        <v>3</v>
      </c>
      <c r="N5">
        <v>4</v>
      </c>
      <c r="O5">
        <v>5</v>
      </c>
      <c r="P5">
        <v>6</v>
      </c>
      <c r="Q5">
        <v>7</v>
      </c>
      <c r="R5">
        <v>8</v>
      </c>
      <c r="S5">
        <v>9</v>
      </c>
      <c r="T5">
        <v>10</v>
      </c>
      <c r="U5">
        <v>11</v>
      </c>
      <c r="V5">
        <v>12</v>
      </c>
    </row>
    <row r="6" spans="1:22" x14ac:dyDescent="0.2">
      <c r="B6">
        <f>C6*'Solar Sizing'!$E$29</f>
        <v>8</v>
      </c>
      <c r="C6">
        <v>1</v>
      </c>
      <c r="D6">
        <v>1</v>
      </c>
      <c r="E6">
        <v>0</v>
      </c>
      <c r="F6">
        <v>0</v>
      </c>
      <c r="G6">
        <v>1</v>
      </c>
      <c r="J6">
        <v>1</v>
      </c>
      <c r="K6">
        <f>IF('Solar Sizing'!D16=208,ROUNDDOWN('Solar Sizing'!G$49/3/J6,0),ROUNDDOWN('Solar Sizing'!G$49/J6,0))</f>
        <v>20</v>
      </c>
    </row>
    <row r="7" spans="1:22" x14ac:dyDescent="0.2">
      <c r="B7">
        <f>C7*'Solar Sizing'!$E$29</f>
        <v>16</v>
      </c>
      <c r="C7">
        <v>2</v>
      </c>
      <c r="D7">
        <v>1</v>
      </c>
      <c r="E7">
        <v>0</v>
      </c>
      <c r="F7">
        <v>0</v>
      </c>
      <c r="G7">
        <v>2</v>
      </c>
      <c r="J7">
        <v>2</v>
      </c>
      <c r="K7">
        <f>ROUNDDOWN(K6/J7,0)</f>
        <v>10</v>
      </c>
      <c r="L7">
        <f>ROUNDDOWN((K6-K7),0)</f>
        <v>10</v>
      </c>
    </row>
    <row r="8" spans="1:22" x14ac:dyDescent="0.2">
      <c r="B8">
        <f>C8*'Solar Sizing'!$E$30</f>
        <v>20</v>
      </c>
      <c r="C8">
        <v>2</v>
      </c>
      <c r="D8">
        <v>0</v>
      </c>
      <c r="E8">
        <v>1</v>
      </c>
      <c r="F8">
        <v>0</v>
      </c>
      <c r="G8">
        <v>3</v>
      </c>
      <c r="J8">
        <v>3</v>
      </c>
      <c r="K8">
        <f>ROUNDDOWN(K6/J8,0)</f>
        <v>6</v>
      </c>
      <c r="L8">
        <f>ROUNDDOWN((K6-K8)/(J8-1),0)</f>
        <v>7</v>
      </c>
      <c r="M8" s="11">
        <f>K6-K8-L8</f>
        <v>7</v>
      </c>
    </row>
    <row r="9" spans="1:22" x14ac:dyDescent="0.2">
      <c r="B9">
        <f>C9*'Solar Sizing'!$E$30</f>
        <v>30</v>
      </c>
      <c r="C9">
        <v>3</v>
      </c>
      <c r="D9">
        <v>0</v>
      </c>
      <c r="E9">
        <v>1</v>
      </c>
      <c r="F9">
        <v>0</v>
      </c>
      <c r="G9">
        <v>4</v>
      </c>
      <c r="J9">
        <v>4</v>
      </c>
      <c r="K9">
        <f>ROUNDDOWN(K6/J9,0)</f>
        <v>5</v>
      </c>
      <c r="L9">
        <f>ROUNDDOWN((K6-K9)/(J9-1),0)</f>
        <v>5</v>
      </c>
      <c r="M9">
        <f>ROUNDDOWN((K6-K9-L9)/(J9-2),0)</f>
        <v>5</v>
      </c>
      <c r="N9" s="11">
        <f>ROUNDDOWN((K6-K9-L9-M9)/($J9-3),0)</f>
        <v>5</v>
      </c>
    </row>
    <row r="10" spans="1:22" x14ac:dyDescent="0.2">
      <c r="B10">
        <f>C10*'Solar Sizing'!$E$31</f>
        <v>40</v>
      </c>
      <c r="C10">
        <v>4</v>
      </c>
      <c r="D10">
        <v>0</v>
      </c>
      <c r="E10">
        <v>0</v>
      </c>
      <c r="F10">
        <v>1</v>
      </c>
      <c r="G10">
        <v>5</v>
      </c>
      <c r="J10">
        <v>5</v>
      </c>
      <c r="K10">
        <f>ROUNDDOWN(K6/J10,0)</f>
        <v>4</v>
      </c>
      <c r="L10">
        <f>ROUNDDOWN((K6-K10)/(J10-1),0)</f>
        <v>4</v>
      </c>
      <c r="M10">
        <f>ROUNDDOWN((K6-K10-L10)/(J10-2),0)</f>
        <v>4</v>
      </c>
      <c r="N10" s="11">
        <f>ROUNDDOWN((K6-K10-L10-M10)/($J10-3),0)</f>
        <v>4</v>
      </c>
      <c r="O10">
        <f>ROUNDDOWN((K6-K10-L10-M10-N10)/(J10-4),0)</f>
        <v>4</v>
      </c>
    </row>
    <row r="11" spans="1:22" x14ac:dyDescent="0.2">
      <c r="B11">
        <f>C11*'Solar Sizing'!$E$30</f>
        <v>50</v>
      </c>
      <c r="C11">
        <v>5</v>
      </c>
      <c r="D11">
        <v>0</v>
      </c>
      <c r="E11">
        <v>2</v>
      </c>
      <c r="F11">
        <v>0</v>
      </c>
      <c r="G11">
        <v>6</v>
      </c>
      <c r="J11">
        <v>6</v>
      </c>
      <c r="K11">
        <f>ROUNDDOWN(K6/J11,0)</f>
        <v>3</v>
      </c>
      <c r="L11">
        <f>ROUNDDOWN((K6-K11)/(J11-1),0)</f>
        <v>3</v>
      </c>
      <c r="M11">
        <f>ROUNDDOWN((K6-K11-L11)/(J11-2),0)</f>
        <v>3</v>
      </c>
      <c r="N11" s="11">
        <f>ROUNDDOWN((K6-K11-L11-M11)/($J11-3),0)</f>
        <v>3</v>
      </c>
      <c r="O11">
        <f>ROUNDDOWN((K6-K11-L11-M11-N11)/(J11-4),0)</f>
        <v>4</v>
      </c>
      <c r="P11">
        <f>ROUNDDOWN((K6-K11-L11-M11-N11-O11)/(J11-5),0)</f>
        <v>4</v>
      </c>
    </row>
    <row r="12" spans="1:22" x14ac:dyDescent="0.2">
      <c r="B12">
        <f>C12*'Solar Sizing'!$E$30</f>
        <v>60</v>
      </c>
      <c r="C12">
        <v>6</v>
      </c>
      <c r="D12">
        <v>0</v>
      </c>
      <c r="E12">
        <v>2</v>
      </c>
      <c r="F12">
        <v>0</v>
      </c>
      <c r="G12">
        <v>7</v>
      </c>
      <c r="J12">
        <v>7</v>
      </c>
      <c r="K12">
        <f>ROUNDDOWN(K6/J12,0)</f>
        <v>2</v>
      </c>
      <c r="L12">
        <f>ROUNDDOWN((K6-K12)/(J12-1),0)</f>
        <v>3</v>
      </c>
      <c r="M12">
        <f>ROUNDDOWN((K6-K12-L12)/(J12-2),0)</f>
        <v>3</v>
      </c>
      <c r="N12" s="11">
        <f>ROUNDDOWN((K6-K12-L12-M12)/($J12-3),0)</f>
        <v>3</v>
      </c>
      <c r="O12">
        <f>ROUNDDOWN((K6-K12-L12-M12-N12)/(J12-4),0)</f>
        <v>3</v>
      </c>
      <c r="P12">
        <f>ROUNDDOWN((K6-K12-L12-M12-N12-O12)/(J12-5),0)</f>
        <v>3</v>
      </c>
      <c r="Q12">
        <f>ROUNDDOWN((K6-K12-L12-M12-N12-O12-P12)/(J12-6),0)</f>
        <v>3</v>
      </c>
    </row>
    <row r="13" spans="1:22" x14ac:dyDescent="0.2">
      <c r="B13">
        <f>C13*'Solar Sizing'!$E$31</f>
        <v>80</v>
      </c>
      <c r="C13">
        <v>8</v>
      </c>
      <c r="D13">
        <v>0</v>
      </c>
      <c r="E13">
        <v>0</v>
      </c>
      <c r="F13">
        <v>2</v>
      </c>
      <c r="G13">
        <v>9</v>
      </c>
      <c r="J13">
        <v>8</v>
      </c>
      <c r="K13">
        <f>ROUNDDOWN(K6/J13,0)</f>
        <v>2</v>
      </c>
      <c r="L13">
        <f>ROUNDDOWN((K6-K13)/(J13-1),0)</f>
        <v>2</v>
      </c>
      <c r="M13">
        <f>ROUNDDOWN((K6-K13-L13)/(J13-2),0)</f>
        <v>2</v>
      </c>
      <c r="N13" s="11">
        <f>ROUNDDOWN((K6-K13-L13-M13)/($J13-3),0)</f>
        <v>2</v>
      </c>
      <c r="O13">
        <f>ROUNDDOWN((K6-K13-L13-M13-N13)/(J13-4),0)</f>
        <v>3</v>
      </c>
      <c r="P13">
        <f>ROUNDDOWN((K6-K13-L13-M13-N13-O13)/(J13-5),0)</f>
        <v>3</v>
      </c>
      <c r="Q13">
        <f>ROUNDDOWN((K6-K13-L13-M13-N13-O13-P13)/(J13-6),0)</f>
        <v>3</v>
      </c>
      <c r="R13">
        <f>ROUNDDOWN((K6-K13-L13-M13-N13-O13-P13-Q13)/(J13-7),0)</f>
        <v>3</v>
      </c>
    </row>
    <row r="14" spans="1:22" x14ac:dyDescent="0.2">
      <c r="B14">
        <f>C14*'Solar Sizing'!$E$31</f>
        <v>120</v>
      </c>
      <c r="C14">
        <v>12</v>
      </c>
      <c r="D14">
        <v>0</v>
      </c>
      <c r="E14">
        <v>0</v>
      </c>
      <c r="F14">
        <v>3</v>
      </c>
      <c r="G14">
        <v>13</v>
      </c>
      <c r="J14">
        <v>9</v>
      </c>
      <c r="K14">
        <f>ROUNDDOWN(K6/J14,0)</f>
        <v>2</v>
      </c>
      <c r="L14">
        <f>ROUNDDOWN((K6-K14)/(J14-1),0)</f>
        <v>2</v>
      </c>
      <c r="M14">
        <f>ROUNDDOWN((K6-K14-L14)/(J14-2),0)</f>
        <v>2</v>
      </c>
      <c r="N14" s="11">
        <f>ROUNDDOWN((K6-K14-L14-M14)/($J14-3),0)</f>
        <v>2</v>
      </c>
      <c r="O14">
        <f>ROUNDDOWN((K6-K14-L14-M14-N14)/(J14-4),0)</f>
        <v>2</v>
      </c>
      <c r="P14">
        <f>ROUNDDOWN((K6-K14-L14-M14-N14-O14)/(J14-5),0)</f>
        <v>2</v>
      </c>
      <c r="Q14">
        <f>ROUNDDOWN((K6-K14-L14-M14-N14-O14-P14)/(J14-6),0)</f>
        <v>2</v>
      </c>
      <c r="R14">
        <f>ROUNDDOWN((K6-K14-L14-M14-N14-O14-P14-Q14)/(J14-7),0)</f>
        <v>3</v>
      </c>
      <c r="S14">
        <f>ROUNDDOWN((K6-K14-L14-M14-N14-O14-P14-Q14-R14)/(J14-8),0)</f>
        <v>3</v>
      </c>
    </row>
    <row r="15" spans="1:22" x14ac:dyDescent="0.2">
      <c r="J15">
        <v>10</v>
      </c>
      <c r="K15">
        <f>ROUNDDOWN(K6/J15,0)</f>
        <v>2</v>
      </c>
      <c r="L15">
        <f>ROUNDDOWN((K6-K15)/(J15-1),0)</f>
        <v>2</v>
      </c>
      <c r="M15">
        <f>ROUNDDOWN((K6-K15-L15)/(J15-2),0)</f>
        <v>2</v>
      </c>
      <c r="N15" s="11">
        <f>ROUNDDOWN((K6-K15-L15-M15)/($J15-3),0)</f>
        <v>2</v>
      </c>
      <c r="O15">
        <f>ROUNDDOWN((K6-K15-L15-M15-N15)/(J15-4),0)</f>
        <v>2</v>
      </c>
      <c r="P15">
        <f>ROUNDDOWN((K6-K15-L15-M15-N15-O15)/(J15-5),0)</f>
        <v>2</v>
      </c>
      <c r="Q15">
        <f>ROUNDDOWN((K6-K15-L15-M15-N15-O15-P15)/(J15-6),0)</f>
        <v>2</v>
      </c>
      <c r="R15">
        <f>ROUNDDOWN((K6-K15-L15-M15-N15-O15-P15-Q15)/(J15-7),0)</f>
        <v>2</v>
      </c>
      <c r="S15">
        <f>ROUNDDOWN((K6-K15-L15-M15-N15-O15-P15-Q15-R15)/(J15-8),0)</f>
        <v>2</v>
      </c>
      <c r="T15">
        <f>ROUNDDOWN((K6-K15-L15-M15-N15-O15-P15-Q15-R15-S15)/(J15-9),0)</f>
        <v>2</v>
      </c>
    </row>
    <row r="16" spans="1:22" x14ac:dyDescent="0.2">
      <c r="J16">
        <v>11</v>
      </c>
      <c r="K16">
        <f>ROUNDDOWN(K6/J16,0)</f>
        <v>1</v>
      </c>
      <c r="L16">
        <f>ROUNDDOWN((K6-K16)/(J16-1),0)</f>
        <v>1</v>
      </c>
      <c r="M16">
        <f>ROUNDDOWN((K6-K16-L16)/(J16-2),0)</f>
        <v>2</v>
      </c>
      <c r="N16" s="11">
        <f>ROUNDDOWN((K6-K16-L16-M16)/($J16-3),0)</f>
        <v>2</v>
      </c>
      <c r="O16">
        <f>ROUNDDOWN((K6-K16-L16-M16-N16)/(J16-4),0)</f>
        <v>2</v>
      </c>
      <c r="P16">
        <f>ROUNDDOWN((K6-K16-L16-M16-N16-O16)/(J16-5),0)</f>
        <v>2</v>
      </c>
      <c r="Q16">
        <f>ROUNDDOWN((K6-K16-L16-M16-N16-O16-P16)/(J16-6),0)</f>
        <v>2</v>
      </c>
      <c r="R16">
        <f>ROUNDDOWN((K6-K16-L16-M16-N16-O16-P16-Q16)/(J16-7),0)</f>
        <v>2</v>
      </c>
      <c r="S16">
        <f>ROUNDDOWN((K6-K16-L16-M16-N16-O16-P16-Q16-R16)/(J16-8),0)</f>
        <v>2</v>
      </c>
      <c r="T16">
        <f>ROUNDDOWN((K6-K16-L16-M16-N16-O16-P16-Q16-R16-S16)/(J16-9),0)</f>
        <v>2</v>
      </c>
      <c r="U16">
        <f>ROUNDDOWN((K6-K16-L16-M16-N16-O16-P16-Q16-R16-S16-T16)/(J16-10),0)</f>
        <v>2</v>
      </c>
    </row>
    <row r="17" spans="1:22" x14ac:dyDescent="0.2">
      <c r="A17" t="s">
        <v>315</v>
      </c>
      <c r="B17" t="s">
        <v>75</v>
      </c>
      <c r="C17" t="s">
        <v>312</v>
      </c>
      <c r="D17">
        <v>3.8</v>
      </c>
      <c r="E17">
        <v>7.6</v>
      </c>
      <c r="F17">
        <v>11.4</v>
      </c>
      <c r="G17" t="s">
        <v>313</v>
      </c>
      <c r="J17">
        <v>12</v>
      </c>
      <c r="K17" s="24">
        <f>ROUNDDOWN('Solar Sizing'!$G$49/J17,0)</f>
        <v>1</v>
      </c>
      <c r="L17">
        <f>ROUNDDOWN((K6-K17)/(J17-1),0)</f>
        <v>1</v>
      </c>
      <c r="M17">
        <f>ROUNDDOWN((K6-K17-L17)/(J17-2),0)</f>
        <v>1</v>
      </c>
      <c r="N17" s="11">
        <f>ROUNDDOWN((K6-K17-L17-M17)/($J17-3),0)</f>
        <v>1</v>
      </c>
      <c r="O17">
        <f>ROUNDDOWN((K6-K17-L17-M17-N17)/(J17-4),0)</f>
        <v>2</v>
      </c>
      <c r="P17">
        <f>ROUNDDOWN((K6-K17-L17-M17-N17-O17)/(J17-5),0)</f>
        <v>2</v>
      </c>
      <c r="Q17">
        <f>ROUNDDOWN((K6-K17-L17-M17-N17-O17-P17)/(J17-6),0)</f>
        <v>2</v>
      </c>
      <c r="R17">
        <f>ROUNDDOWN((K6-K17-L17-M17-N17-O17-P17-Q17)/(J17-7),0)</f>
        <v>2</v>
      </c>
      <c r="S17">
        <f>ROUNDDOWN((K6-K17-L17-M17-N17-O17-P17-Q17-R17)/(J17-8),0)</f>
        <v>2</v>
      </c>
      <c r="T17">
        <f>ROUNDDOWN((K6-K17-L17-M17-N17-O17-P17-Q17-R17-S17)/(J17-9),0)</f>
        <v>2</v>
      </c>
      <c r="U17">
        <f>ROUNDDOWN((K6-K17-L17-M17-N17-O17-P17-Q17-R17-S17-T17)/(J17-10),0)</f>
        <v>2</v>
      </c>
      <c r="V17">
        <f>ROUNDDOWN((K6-K17-L17-M17-N17-O17-P17-Q17-R17-S17-T17-U17)/(J17-11),0)</f>
        <v>2</v>
      </c>
    </row>
    <row r="18" spans="1:22" x14ac:dyDescent="0.2">
      <c r="B18">
        <f>C18*'Solar Sizing'!$E$29</f>
        <v>24</v>
      </c>
      <c r="C18">
        <v>3</v>
      </c>
      <c r="D18">
        <v>3</v>
      </c>
      <c r="E18">
        <v>0</v>
      </c>
      <c r="F18">
        <v>0</v>
      </c>
      <c r="G18">
        <v>1</v>
      </c>
    </row>
    <row r="19" spans="1:22" x14ac:dyDescent="0.2">
      <c r="B19">
        <f>C19*'Solar Sizing'!$E$29</f>
        <v>32</v>
      </c>
      <c r="C19">
        <v>4</v>
      </c>
      <c r="D19">
        <v>3</v>
      </c>
      <c r="E19">
        <v>0</v>
      </c>
      <c r="F19">
        <v>0</v>
      </c>
      <c r="I19" t="s">
        <v>316</v>
      </c>
      <c r="J19" t="s">
        <v>314</v>
      </c>
      <c r="K19">
        <v>1</v>
      </c>
      <c r="L19">
        <v>2</v>
      </c>
      <c r="M19">
        <v>3</v>
      </c>
      <c r="N19">
        <v>4</v>
      </c>
      <c r="O19">
        <v>5</v>
      </c>
      <c r="P19">
        <v>6</v>
      </c>
      <c r="Q19">
        <v>7</v>
      </c>
      <c r="R19">
        <v>8</v>
      </c>
      <c r="S19">
        <v>9</v>
      </c>
      <c r="T19">
        <v>10</v>
      </c>
      <c r="U19">
        <v>11</v>
      </c>
      <c r="V19">
        <v>12</v>
      </c>
    </row>
    <row r="20" spans="1:22" x14ac:dyDescent="0.2">
      <c r="B20">
        <f>C20*'Solar Sizing'!$E$29</f>
        <v>40</v>
      </c>
      <c r="C20">
        <v>5</v>
      </c>
      <c r="D20">
        <v>3</v>
      </c>
      <c r="E20">
        <v>0</v>
      </c>
      <c r="F20">
        <v>0</v>
      </c>
      <c r="I20" t="s">
        <v>317</v>
      </c>
      <c r="J20">
        <v>1</v>
      </c>
      <c r="K20" s="11">
        <f>ROUNDDOWN(('Solar Sizing'!G49-'Ref Solar'!K6)/(2),0)</f>
        <v>0</v>
      </c>
    </row>
    <row r="21" spans="1:22" x14ac:dyDescent="0.2">
      <c r="B21">
        <f>C21*'Solar Sizing'!$E$29</f>
        <v>48</v>
      </c>
      <c r="C21">
        <v>6</v>
      </c>
      <c r="D21">
        <v>3</v>
      </c>
      <c r="E21">
        <v>0</v>
      </c>
      <c r="F21">
        <v>0</v>
      </c>
      <c r="G21">
        <v>2</v>
      </c>
      <c r="J21">
        <v>2</v>
      </c>
      <c r="K21">
        <f>ROUNDDOWN(K20/J21,0)</f>
        <v>0</v>
      </c>
      <c r="L21" s="11">
        <f>ROUNDDOWN((K20-K21),0)</f>
        <v>0</v>
      </c>
    </row>
    <row r="22" spans="1:22" x14ac:dyDescent="0.2">
      <c r="B22">
        <f>C22*'Solar Sizing'!$E$30</f>
        <v>60</v>
      </c>
      <c r="C22">
        <v>6</v>
      </c>
      <c r="D22">
        <v>0</v>
      </c>
      <c r="E22">
        <v>3</v>
      </c>
      <c r="F22">
        <v>0</v>
      </c>
      <c r="J22">
        <v>3</v>
      </c>
      <c r="K22">
        <f>ROUNDDOWN(K20/J22,0)</f>
        <v>0</v>
      </c>
      <c r="L22">
        <f>ROUNDDOWN((K20-K22)/(J22-1),0)</f>
        <v>0</v>
      </c>
      <c r="M22" s="11">
        <f>K20-K22-L22</f>
        <v>0</v>
      </c>
    </row>
    <row r="23" spans="1:22" x14ac:dyDescent="0.2">
      <c r="B23">
        <f>C23*'Solar Sizing'!$E$30</f>
        <v>70</v>
      </c>
      <c r="C23">
        <v>7</v>
      </c>
      <c r="D23">
        <v>0</v>
      </c>
      <c r="E23">
        <v>3</v>
      </c>
      <c r="F23">
        <v>0</v>
      </c>
      <c r="J23">
        <v>4</v>
      </c>
      <c r="K23">
        <f>ROUNDDOWN(K20/J23,0)</f>
        <v>0</v>
      </c>
      <c r="L23">
        <f>ROUNDDOWN((K20-K23)/(J23-1),0)</f>
        <v>0</v>
      </c>
      <c r="M23">
        <f>ROUNDDOWN((K20-K23-L23)/(J23-2),0)</f>
        <v>0</v>
      </c>
      <c r="N23" s="11">
        <f>ROUNDDOWN((K20-K23-L23-M23)/($J23-3),0)</f>
        <v>0</v>
      </c>
    </row>
    <row r="24" spans="1:22" x14ac:dyDescent="0.2">
      <c r="B24">
        <f>C24*'Solar Sizing'!$E$30</f>
        <v>80</v>
      </c>
      <c r="C24">
        <v>8</v>
      </c>
      <c r="D24">
        <v>0</v>
      </c>
      <c r="E24">
        <v>3</v>
      </c>
      <c r="F24">
        <v>0</v>
      </c>
      <c r="J24">
        <v>5</v>
      </c>
      <c r="K24">
        <f>ROUNDDOWN(K20/J24,0)</f>
        <v>0</v>
      </c>
      <c r="L24">
        <f>ROUNDDOWN((K20-K24)/(J24-1),0)</f>
        <v>0</v>
      </c>
      <c r="M24">
        <f>ROUNDDOWN((K20-K24-L24)/(J24-2),0)</f>
        <v>0</v>
      </c>
      <c r="N24" s="11">
        <f>ROUNDDOWN((K20-K24-L24-M24)/($J24-3),0)</f>
        <v>0</v>
      </c>
      <c r="O24">
        <f>ROUNDDOWN((K20-K24-L24-M24-N24)/(J24-4),0)</f>
        <v>0</v>
      </c>
    </row>
    <row r="25" spans="1:22" x14ac:dyDescent="0.2">
      <c r="B25">
        <f>C25*'Solar Sizing'!$E$30</f>
        <v>90</v>
      </c>
      <c r="C25">
        <v>9</v>
      </c>
      <c r="D25">
        <v>0</v>
      </c>
      <c r="E25">
        <v>3</v>
      </c>
      <c r="F25">
        <v>0</v>
      </c>
      <c r="G25">
        <v>4</v>
      </c>
      <c r="J25">
        <v>6</v>
      </c>
      <c r="K25">
        <f>ROUNDDOWN(K20/J25,0)</f>
        <v>0</v>
      </c>
      <c r="L25">
        <f>ROUNDDOWN((K20-K25)/(J25-1),0)</f>
        <v>0</v>
      </c>
      <c r="M25">
        <f>ROUNDDOWN((K20-K25-L25)/(J25-2),0)</f>
        <v>0</v>
      </c>
      <c r="N25" s="11">
        <f>ROUNDDOWN((K20-K25-L25-M25)/($J25-3),0)</f>
        <v>0</v>
      </c>
      <c r="O25">
        <f>ROUNDDOWN((K20-K25-L25-M25-N25)/(J25-4),0)</f>
        <v>0</v>
      </c>
      <c r="P25">
        <f>ROUNDDOWN((K20-K25-L25-M25-N25-O25)/(J25-5),0)</f>
        <v>0</v>
      </c>
    </row>
    <row r="26" spans="1:22" x14ac:dyDescent="0.2">
      <c r="B26">
        <f>C26*'Solar Sizing'!$E$31</f>
        <v>90</v>
      </c>
      <c r="C26">
        <v>9</v>
      </c>
      <c r="D26">
        <v>0</v>
      </c>
      <c r="E26">
        <v>0</v>
      </c>
      <c r="F26">
        <v>3</v>
      </c>
      <c r="J26">
        <v>7</v>
      </c>
      <c r="K26">
        <f>ROUNDDOWN(K20/J26,0)</f>
        <v>0</v>
      </c>
      <c r="L26">
        <f>ROUNDDOWN((K20-K26)/(J26-1),0)</f>
        <v>0</v>
      </c>
      <c r="M26">
        <f>ROUNDDOWN((K20-K26-L26)/(J26-2),0)</f>
        <v>0</v>
      </c>
      <c r="N26" s="11">
        <f>ROUNDDOWN((K20-K26-L26-M26)/($J26-3),0)</f>
        <v>0</v>
      </c>
      <c r="O26">
        <f>ROUNDDOWN((K20-K26-L26-M26-N26)/(J26-4),0)</f>
        <v>0</v>
      </c>
      <c r="P26">
        <f>ROUNDDOWN((K20-K26-L26-M26-N26-O26)/(J26-5),0)</f>
        <v>0</v>
      </c>
      <c r="Q26">
        <f>ROUNDDOWN((K20-K26-L26-M26-N26-O26-P26)/(J26-6),0)</f>
        <v>0</v>
      </c>
    </row>
    <row r="27" spans="1:22" x14ac:dyDescent="0.2">
      <c r="B27">
        <f>C27*'Solar Sizing'!$E$31</f>
        <v>100</v>
      </c>
      <c r="C27">
        <v>10</v>
      </c>
      <c r="D27">
        <v>0</v>
      </c>
      <c r="E27">
        <v>0</v>
      </c>
      <c r="F27">
        <v>3</v>
      </c>
      <c r="J27">
        <v>8</v>
      </c>
      <c r="K27">
        <f>ROUNDDOWN(K20/J27,0)</f>
        <v>0</v>
      </c>
      <c r="L27">
        <f>ROUNDDOWN((K20-K27)/(J27-1),0)</f>
        <v>0</v>
      </c>
      <c r="M27">
        <f>ROUNDDOWN((K20-K27-L27)/(J27-2),0)</f>
        <v>0</v>
      </c>
      <c r="N27" s="11">
        <f>ROUNDDOWN((K20-K27-L27-M27)/($J27-3),0)</f>
        <v>0</v>
      </c>
      <c r="O27">
        <f>ROUNDDOWN((K20-K27-L27-M27-N27)/(J27-4),0)</f>
        <v>0</v>
      </c>
      <c r="P27">
        <f>ROUNDDOWN((K20-K27-L27-M27-N27-O27)/(J27-5),0)</f>
        <v>0</v>
      </c>
      <c r="Q27">
        <f>ROUNDDOWN((K20-K27-L27-M27-N27-O27-P27)/(J27-6),0)</f>
        <v>0</v>
      </c>
      <c r="R27">
        <f>ROUNDDOWN((K20-K27-L27-M27-N27-O27-P27-Q27)/(J27-7),0)</f>
        <v>0</v>
      </c>
    </row>
    <row r="28" spans="1:22" x14ac:dyDescent="0.2">
      <c r="B28">
        <f>C28*'Solar Sizing'!$E$31</f>
        <v>110</v>
      </c>
      <c r="C28">
        <v>11</v>
      </c>
      <c r="D28">
        <v>0</v>
      </c>
      <c r="E28">
        <v>0</v>
      </c>
      <c r="F28">
        <v>3</v>
      </c>
      <c r="J28">
        <v>9</v>
      </c>
      <c r="K28">
        <f>ROUNDDOWN(K20/J28,0)</f>
        <v>0</v>
      </c>
      <c r="L28">
        <f>ROUNDDOWN((K20-K28)/(J28-1),0)</f>
        <v>0</v>
      </c>
      <c r="M28">
        <f>ROUNDDOWN((K20-K28-L28)/(J28-2),0)</f>
        <v>0</v>
      </c>
      <c r="N28" s="11">
        <f>ROUNDDOWN((K20-K28-L28-M28)/($J28-3),0)</f>
        <v>0</v>
      </c>
      <c r="O28">
        <f>ROUNDDOWN((K20-K28-L28-M28-N28)/(J28-4),0)</f>
        <v>0</v>
      </c>
      <c r="P28">
        <f>ROUNDDOWN((K20-K28-L28-M28-N28-O28)/(J28-5),0)</f>
        <v>0</v>
      </c>
      <c r="Q28">
        <f>ROUNDDOWN((K20-K28-L28-M28-N28-O28-P28)/(J28-6),0)</f>
        <v>0</v>
      </c>
      <c r="R28">
        <f>ROUNDDOWN((K20-K28-L28-M28-N28-O28-P28-Q28)/(J28-7),0)</f>
        <v>0</v>
      </c>
      <c r="S28">
        <f>ROUNDDOWN((K20-K28-L28-M28-N28-O28-P28-Q28-R28)/(J28-8),0)</f>
        <v>0</v>
      </c>
    </row>
    <row r="29" spans="1:22" x14ac:dyDescent="0.2">
      <c r="B29">
        <f>C29*'Solar Sizing'!$E$31</f>
        <v>120</v>
      </c>
      <c r="C29">
        <v>12</v>
      </c>
      <c r="D29">
        <v>0</v>
      </c>
      <c r="E29">
        <v>0</v>
      </c>
      <c r="F29">
        <v>3</v>
      </c>
      <c r="G29">
        <v>6</v>
      </c>
      <c r="J29">
        <v>10</v>
      </c>
      <c r="K29">
        <f>ROUNDDOWN(K20/J29,0)</f>
        <v>0</v>
      </c>
      <c r="L29">
        <f>ROUNDDOWN((K20-K29)/(J29-1),0)</f>
        <v>0</v>
      </c>
      <c r="M29">
        <f>ROUNDDOWN((K20-K29-L29)/(J29-2),0)</f>
        <v>0</v>
      </c>
      <c r="N29" s="11">
        <f>ROUNDDOWN((K20-K29-L29-M29)/($J29-3),0)</f>
        <v>0</v>
      </c>
      <c r="O29">
        <f>ROUNDDOWN((K20-K29-L29-M29-N29)/(J29-4),0)</f>
        <v>0</v>
      </c>
      <c r="P29">
        <f>ROUNDDOWN((K20-K29-L29-M29-N29-O29)/(J29-5),0)</f>
        <v>0</v>
      </c>
      <c r="Q29">
        <f>ROUNDDOWN((K20-K29-L29-M29-N29-O29-P29)/(J29-6),0)</f>
        <v>0</v>
      </c>
      <c r="R29">
        <f>ROUNDDOWN((K20-K29-L29-M29-N29-O29-P29-Q29)/(J29-7),0)</f>
        <v>0</v>
      </c>
      <c r="S29">
        <f>ROUNDDOWN((K20-K29-L29-M29-N29-O29-P29-Q29-R29)/(J29-8),0)</f>
        <v>0</v>
      </c>
      <c r="T29">
        <f>ROUNDDOWN((K20-K29-L29-M29-N29-O29-P29-Q29-R29-S29)/(J29-9),0)</f>
        <v>0</v>
      </c>
    </row>
    <row r="30" spans="1:22" x14ac:dyDescent="0.2">
      <c r="J30">
        <v>11</v>
      </c>
      <c r="K30">
        <f>ROUNDDOWN(K20/J30,0)</f>
        <v>0</v>
      </c>
      <c r="L30">
        <f>ROUNDDOWN((K20-K30)/(J30-1),0)</f>
        <v>0</v>
      </c>
      <c r="M30">
        <f>ROUNDDOWN((K20-K30-L30)/(J30-2),0)</f>
        <v>0</v>
      </c>
      <c r="N30" s="11">
        <f>ROUNDDOWN((K20-K30-L30-M30)/($J30-3),0)</f>
        <v>0</v>
      </c>
      <c r="O30">
        <f>ROUNDDOWN((K20-K30-L30-M30-N30)/(J30-4),0)</f>
        <v>0</v>
      </c>
      <c r="P30">
        <f>ROUNDDOWN((K20-K30-L30-M30-N30-O30)/(J30-5),0)</f>
        <v>0</v>
      </c>
      <c r="Q30">
        <f>ROUNDDOWN((K20-K30-L30-M30-N30-O30-P30)/(J30-6),0)</f>
        <v>0</v>
      </c>
      <c r="R30">
        <f>ROUNDDOWN((K20-K30-L30-M30-N30-O30-P30-Q30)/(J30-7),0)</f>
        <v>0</v>
      </c>
      <c r="S30">
        <f>ROUNDDOWN((K20-K30-L30-M30-N30-O30-P30-Q30-R30)/(J30-8),0)</f>
        <v>0</v>
      </c>
      <c r="T30">
        <f>ROUNDDOWN((K20-K30-L30-M30-N30-O30-P30-Q30-R30-S30)/(J30-9),0)</f>
        <v>0</v>
      </c>
      <c r="U30">
        <f>ROUNDDOWN((K20-K30-L30-M30-N30-O30-P30-Q30-R30-S30-T30)/(J30-10),0)</f>
        <v>0</v>
      </c>
    </row>
    <row r="31" spans="1:22" x14ac:dyDescent="0.2">
      <c r="J31">
        <v>12</v>
      </c>
      <c r="K31">
        <f>ROUNDDOWN('Solar Sizing'!$G$49/J31,0)</f>
        <v>1</v>
      </c>
      <c r="L31">
        <f>ROUNDDOWN((K20-K31)/(J31-1),0)</f>
        <v>0</v>
      </c>
      <c r="M31">
        <f>ROUNDDOWN((K20-K31-L31)/(J31-2),0)</f>
        <v>0</v>
      </c>
      <c r="N31" s="11">
        <f>ROUNDDOWN((K20-K31-L31-M31)/($J31-3),0)</f>
        <v>0</v>
      </c>
      <c r="O31">
        <f>ROUNDDOWN((K20-K31-L31-M31-N31)/(J31-4),0)</f>
        <v>0</v>
      </c>
      <c r="P31">
        <f>ROUNDDOWN((K20-K31-L31-M31-N31-O31)/(J31-5),0)</f>
        <v>0</v>
      </c>
      <c r="Q31">
        <f>ROUNDDOWN((K20-K31-L31-M31-N31-O31-P31)/(J31-6),0)</f>
        <v>0</v>
      </c>
      <c r="R31">
        <f>ROUNDDOWN((K20-K31-L31-M31-N31-O31-P31-Q31)/(J31-7),0)</f>
        <v>0</v>
      </c>
      <c r="S31">
        <f>ROUNDDOWN((K20-K31-L31-M31-N31-O31-P31-Q31-R31)/(J31-8),0)</f>
        <v>0</v>
      </c>
      <c r="T31">
        <f>ROUNDDOWN((K20-K31-L31-M31-N31-O31-P31-Q31-R31-S31)/(J31-9),0)</f>
        <v>0</v>
      </c>
      <c r="U31">
        <f>ROUNDDOWN((K20-K31-L31-M31-N31-O31-P31-Q31-R31-S31-T31)/(J31-10),0)</f>
        <v>0</v>
      </c>
      <c r="V31">
        <f>ROUNDDOWN((K20-K31-L31-M31-N31-O31-P31-Q31-R31-S31-T31-U31)/(J31-11),0)</f>
        <v>-1</v>
      </c>
    </row>
    <row r="32" spans="1:22" x14ac:dyDescent="0.2">
      <c r="K32" s="24"/>
      <c r="N32" s="11"/>
    </row>
    <row r="33" spans="9:22" x14ac:dyDescent="0.2">
      <c r="I33" t="s">
        <v>318</v>
      </c>
      <c r="J33" t="s">
        <v>314</v>
      </c>
      <c r="K33">
        <v>1</v>
      </c>
      <c r="L33">
        <v>2</v>
      </c>
      <c r="M33">
        <v>3</v>
      </c>
      <c r="N33">
        <v>4</v>
      </c>
      <c r="O33">
        <v>5</v>
      </c>
      <c r="P33">
        <v>6</v>
      </c>
      <c r="Q33">
        <v>7</v>
      </c>
      <c r="R33">
        <v>8</v>
      </c>
      <c r="S33">
        <v>9</v>
      </c>
      <c r="T33">
        <v>10</v>
      </c>
      <c r="U33">
        <v>11</v>
      </c>
      <c r="V33">
        <v>12</v>
      </c>
    </row>
    <row r="34" spans="9:22" x14ac:dyDescent="0.2">
      <c r="I34" t="s">
        <v>317</v>
      </c>
      <c r="J34">
        <v>1</v>
      </c>
      <c r="K34" s="11">
        <f>'Solar Sizing'!G49-'Ref Solar'!K6-'Ref Solar'!K20</f>
        <v>0</v>
      </c>
    </row>
    <row r="35" spans="9:22" x14ac:dyDescent="0.2">
      <c r="J35">
        <v>2</v>
      </c>
      <c r="K35">
        <f>ROUNDDOWN(K34/J35,0)</f>
        <v>0</v>
      </c>
      <c r="L35">
        <f>ROUNDDOWN((K34-K35)*1,0)</f>
        <v>0</v>
      </c>
    </row>
    <row r="36" spans="9:22" x14ac:dyDescent="0.2">
      <c r="J36">
        <v>3</v>
      </c>
      <c r="K36">
        <f>ROUNDDOWN(K34/J36,0)</f>
        <v>0</v>
      </c>
      <c r="L36">
        <f>ROUNDDOWN((K34-K36)/(J36-1),0)</f>
        <v>0</v>
      </c>
      <c r="M36" s="11">
        <f>K34-K36-L36</f>
        <v>0</v>
      </c>
    </row>
    <row r="37" spans="9:22" x14ac:dyDescent="0.2">
      <c r="J37">
        <v>4</v>
      </c>
      <c r="K37">
        <f>ROUNDDOWN(K34/J37,0)</f>
        <v>0</v>
      </c>
      <c r="L37">
        <f>ROUNDDOWN((K34-K37)/(J37-1),0)</f>
        <v>0</v>
      </c>
      <c r="M37">
        <f>ROUNDDOWN((K34-K37-L37)/(J37-2),0)</f>
        <v>0</v>
      </c>
      <c r="N37" s="11">
        <f>ROUNDDOWN((K34-K37-L37-M37)/($J37-3),0)</f>
        <v>0</v>
      </c>
    </row>
    <row r="38" spans="9:22" x14ac:dyDescent="0.2">
      <c r="J38">
        <v>5</v>
      </c>
      <c r="K38">
        <f>ROUNDDOWN(K34/J38,0)</f>
        <v>0</v>
      </c>
      <c r="L38">
        <f>ROUNDDOWN((K34-K38)/(J38-1),0)</f>
        <v>0</v>
      </c>
      <c r="M38">
        <f>ROUNDDOWN((K34-K38-L38)/(J38-2),0)</f>
        <v>0</v>
      </c>
      <c r="N38" s="11">
        <f>ROUNDDOWN((K34-K38-L38-M38)/($J38-3),0)</f>
        <v>0</v>
      </c>
      <c r="O38">
        <f>ROUNDDOWN((K34-K38-L38-M38-N38)/(J38-4),0)</f>
        <v>0</v>
      </c>
    </row>
    <row r="39" spans="9:22" x14ac:dyDescent="0.2">
      <c r="J39">
        <v>6</v>
      </c>
      <c r="K39">
        <f>ROUNDDOWN(K34/J39,0)</f>
        <v>0</v>
      </c>
      <c r="L39">
        <f>ROUNDDOWN((K34-K39)/(J39-1),0)</f>
        <v>0</v>
      </c>
      <c r="M39">
        <f>ROUNDDOWN((K34-K39-L39)/(J39-2),0)</f>
        <v>0</v>
      </c>
      <c r="N39" s="11">
        <f>ROUNDDOWN((K34-K39-L39-M39)/($J39-3),0)</f>
        <v>0</v>
      </c>
      <c r="O39">
        <f>ROUNDDOWN((K34-K39-L39-M39-N39)/(J39-4),0)</f>
        <v>0</v>
      </c>
      <c r="P39">
        <f>ROUNDDOWN((K34-K39-L39-M39-N39-O39)/(J39-5),0)</f>
        <v>0</v>
      </c>
    </row>
    <row r="40" spans="9:22" x14ac:dyDescent="0.2">
      <c r="J40">
        <v>7</v>
      </c>
      <c r="K40">
        <f>ROUNDDOWN(K34/J40,0)</f>
        <v>0</v>
      </c>
      <c r="L40">
        <f>ROUNDDOWN((K34-K40)/(J40-1),0)</f>
        <v>0</v>
      </c>
      <c r="M40">
        <f>ROUNDDOWN((K34-K40-L40)/(J40-2),0)</f>
        <v>0</v>
      </c>
      <c r="N40" s="11">
        <f>ROUNDDOWN((K34-K40-L40-M40)/($J40-3),0)</f>
        <v>0</v>
      </c>
      <c r="O40">
        <f>ROUNDDOWN((K34-K40-L40-M40-N40)/(J40-4),0)</f>
        <v>0</v>
      </c>
      <c r="P40">
        <f>ROUNDDOWN((K34-K40-L40-M40-N40-O40)/(J40-5),0)</f>
        <v>0</v>
      </c>
      <c r="Q40">
        <f>ROUNDDOWN((K34-K40-L40-M40-N40-O40-P40)/(J40-6),0)</f>
        <v>0</v>
      </c>
    </row>
    <row r="41" spans="9:22" x14ac:dyDescent="0.2">
      <c r="J41">
        <v>8</v>
      </c>
      <c r="K41">
        <f>ROUNDDOWN(K34/J41,0)</f>
        <v>0</v>
      </c>
      <c r="L41">
        <f>ROUNDDOWN((K34-K41)/(J41-1),0)</f>
        <v>0</v>
      </c>
      <c r="M41">
        <f>ROUNDDOWN((K34-K41-L41)/(J41-2),0)</f>
        <v>0</v>
      </c>
      <c r="N41" s="11">
        <f>ROUNDDOWN((K34-K41-L41-M41)/($J41-3),0)</f>
        <v>0</v>
      </c>
      <c r="O41">
        <f>ROUNDDOWN((K34-K41-L41-M41-N41)/(J41-4),0)</f>
        <v>0</v>
      </c>
      <c r="P41">
        <f>ROUNDDOWN((K34-K41-L41-M41-N41-O41)/(J41-5),0)</f>
        <v>0</v>
      </c>
      <c r="Q41">
        <f>ROUNDDOWN((K34-K41-L41-M41-N41-O41-P41)/(J41-6),0)</f>
        <v>0</v>
      </c>
      <c r="R41">
        <f>ROUNDDOWN((K34-K41-L41-M41-N41-O41-P41-Q41)/(J41-7),0)</f>
        <v>0</v>
      </c>
    </row>
    <row r="42" spans="9:22" x14ac:dyDescent="0.2">
      <c r="J42">
        <v>9</v>
      </c>
      <c r="K42">
        <f>ROUNDDOWN(K34/J42,0)</f>
        <v>0</v>
      </c>
      <c r="L42">
        <f>ROUNDDOWN((K34-K42)/(J42-1),0)</f>
        <v>0</v>
      </c>
      <c r="M42">
        <f>ROUNDDOWN((K34-K42-L42)/(J42-2),0)</f>
        <v>0</v>
      </c>
      <c r="N42" s="11">
        <f>ROUNDDOWN((K34-K42-L42-M42)/($J42-3),0)</f>
        <v>0</v>
      </c>
      <c r="O42">
        <f>ROUNDDOWN((K34-K42-L42-M42-N42)/(J42-4),0)</f>
        <v>0</v>
      </c>
      <c r="P42">
        <f>ROUNDDOWN((K34-K42-L42-M42-N42-O42)/(J42-5),0)</f>
        <v>0</v>
      </c>
      <c r="Q42">
        <f>ROUNDDOWN((K34-K42-L42-M42-N42-O42-P42)/(J42-6),0)</f>
        <v>0</v>
      </c>
      <c r="R42">
        <f>ROUNDDOWN((K34-K42-L42-M42-N42-O42-P42-Q42)/(J42-7),0)</f>
        <v>0</v>
      </c>
      <c r="S42">
        <f>ROUNDDOWN((K34-K42-L42-M42-N42-O42-P42-Q42-R42)/(J42-8),0)</f>
        <v>0</v>
      </c>
    </row>
    <row r="43" spans="9:22" x14ac:dyDescent="0.2">
      <c r="J43">
        <v>10</v>
      </c>
      <c r="K43">
        <f>ROUNDDOWN(K34/J43,0)</f>
        <v>0</v>
      </c>
      <c r="L43">
        <f>ROUNDDOWN((K34-K43)/(J43-1),0)</f>
        <v>0</v>
      </c>
      <c r="M43">
        <f>ROUNDDOWN((K34-K43-L43)/(J43-2),0)</f>
        <v>0</v>
      </c>
      <c r="N43" s="11">
        <f>ROUNDDOWN((K34-K43-L43-M43)/($J43-3),0)</f>
        <v>0</v>
      </c>
      <c r="O43">
        <f>ROUNDDOWN((K34-K43-L43-M43-N43)/(J43-4),0)</f>
        <v>0</v>
      </c>
      <c r="P43">
        <f>ROUNDDOWN((K34-K43-L43-M43-N43-O43)/(J43-5),0)</f>
        <v>0</v>
      </c>
      <c r="Q43">
        <f>ROUNDDOWN((K34-K43-L43-M43-N43-O43-P43)/(J43-6),0)</f>
        <v>0</v>
      </c>
      <c r="R43">
        <f>ROUNDDOWN((K34-K43-L43-M43-N43-O43-P43-Q43)/(J43-7),0)</f>
        <v>0</v>
      </c>
      <c r="S43">
        <f>ROUNDDOWN((K34-K43-L43-M43-N43-O43-P43-Q43-R43)/(J43-8),0)</f>
        <v>0</v>
      </c>
      <c r="T43">
        <f>ROUNDDOWN((K34-K43-L43-M43-N43-O43-P43-Q43-R43-S43)/(J43-9),0)</f>
        <v>0</v>
      </c>
    </row>
    <row r="44" spans="9:22" x14ac:dyDescent="0.2">
      <c r="J44">
        <v>11</v>
      </c>
      <c r="K44">
        <f>ROUNDDOWN(K34/J44,0)</f>
        <v>0</v>
      </c>
      <c r="L44">
        <f>ROUNDDOWN((K34-K44)/(J44-1),0)</f>
        <v>0</v>
      </c>
      <c r="M44">
        <f>ROUNDDOWN((K34-K44-L44)/(J44-2),0)</f>
        <v>0</v>
      </c>
      <c r="N44" s="11">
        <f>ROUNDDOWN((K34-K44-L44-M44)/($J44-3),0)</f>
        <v>0</v>
      </c>
      <c r="O44">
        <f>ROUNDDOWN((K34-K44-L44-M44-N44)/(J44-4),0)</f>
        <v>0</v>
      </c>
      <c r="P44">
        <f>ROUNDDOWN((K34-K44-L44-M44-N44-O44)/(J44-5),0)</f>
        <v>0</v>
      </c>
      <c r="Q44">
        <f>ROUNDDOWN((K34-K44-L44-M44-N44-O44-P44)/(J44-6),0)</f>
        <v>0</v>
      </c>
      <c r="R44">
        <f>ROUNDDOWN((K34-K44-L44-M44-N44-O44-P44-Q44)/(J44-7),0)</f>
        <v>0</v>
      </c>
      <c r="S44">
        <f>ROUNDDOWN((K34-K44-L44-M44-N44-O44-P44-Q44-R44)/(J44-8),0)</f>
        <v>0</v>
      </c>
      <c r="T44">
        <f>ROUNDDOWN((K34-K44-L44-M44-N44-O44-P44-Q44-R44-S44)/(J44-9),0)</f>
        <v>0</v>
      </c>
      <c r="U44">
        <f>ROUNDDOWN((K34-K44-L44-M44-N44-O44-P44-Q44-R44-S44-T44)/(J44-10),0)</f>
        <v>0</v>
      </c>
    </row>
    <row r="45" spans="9:22" x14ac:dyDescent="0.2">
      <c r="J45">
        <v>12</v>
      </c>
      <c r="K45">
        <f>ROUNDDOWN('Solar Sizing'!$G$49/J45,0)</f>
        <v>1</v>
      </c>
      <c r="L45">
        <f>ROUNDDOWN((K34-K45)/(J45-1),0)</f>
        <v>0</v>
      </c>
      <c r="M45">
        <f>ROUNDDOWN((K34-K45-L45)/(J45-2),0)</f>
        <v>0</v>
      </c>
      <c r="N45" s="11">
        <f>ROUNDDOWN((K34-K45-L45-M45)/($J45-3),0)</f>
        <v>0</v>
      </c>
      <c r="O45">
        <f>ROUNDDOWN((K34-K45-L45-M45-N45)/(J45-4),0)</f>
        <v>0</v>
      </c>
      <c r="P45">
        <f>ROUNDDOWN((K34-K45-L45-M45-N45-O45)/(J45-5),0)</f>
        <v>0</v>
      </c>
      <c r="Q45">
        <f>ROUNDDOWN((K34-K45-L45-M45-N45-O45-P45)/(J45-6),0)</f>
        <v>0</v>
      </c>
      <c r="R45">
        <f>ROUNDDOWN((K34-K45-L45-M45-N45-O45-P45-Q45)/(J45-7),0)</f>
        <v>0</v>
      </c>
      <c r="S45">
        <f>ROUNDDOWN((K34-K45-L45-M45-N45-O45-P45-Q45-R45)/(J45-8),0)</f>
        <v>0</v>
      </c>
      <c r="T45">
        <f>ROUNDDOWN((K34-K45-L45-M45-N45-O45-P45-Q45-R45-S45)/(J45-9),0)</f>
        <v>0</v>
      </c>
      <c r="U45">
        <f>ROUNDDOWN((K34-K45-L45-M45-N45-O45-P45-Q45-R45-S45-T45)/(J45-10),0)</f>
        <v>0</v>
      </c>
      <c r="V45">
        <f>ROUNDDOWN((K34-K45-L45-M45-N45-O45-P45-Q45-R45-S45-T45-U45)/(J45-11),0)</f>
        <v>-1</v>
      </c>
    </row>
    <row r="46" spans="9:22" x14ac:dyDescent="0.2">
      <c r="N46" s="11"/>
    </row>
    <row r="47" spans="9:22" x14ac:dyDescent="0.2">
      <c r="N47" s="11"/>
    </row>
    <row r="48" spans="9:22" x14ac:dyDescent="0.2">
      <c r="N48" s="11"/>
    </row>
    <row r="49" spans="14:14" x14ac:dyDescent="0.2">
      <c r="N49" s="11"/>
    </row>
    <row r="50" spans="14:14" x14ac:dyDescent="0.2">
      <c r="N50" s="11"/>
    </row>
    <row r="51" spans="14:14" x14ac:dyDescent="0.2">
      <c r="N51" s="11"/>
    </row>
    <row r="52" spans="14:14" x14ac:dyDescent="0.2">
      <c r="N52" s="11"/>
    </row>
    <row r="53" spans="14:14" x14ac:dyDescent="0.2">
      <c r="N53" s="11"/>
    </row>
    <row r="54" spans="14:14" x14ac:dyDescent="0.2">
      <c r="N54" s="11"/>
    </row>
    <row r="55" spans="14:14" x14ac:dyDescent="0.2">
      <c r="N55" s="11"/>
    </row>
    <row r="56" spans="14:14" x14ac:dyDescent="0.2">
      <c r="N56" s="11"/>
    </row>
    <row r="57" spans="14:14" x14ac:dyDescent="0.2">
      <c r="N57" s="11"/>
    </row>
    <row r="58" spans="14:14" x14ac:dyDescent="0.2">
      <c r="N58" s="11"/>
    </row>
    <row r="59" spans="14:14" x14ac:dyDescent="0.2">
      <c r="N59" s="11"/>
    </row>
    <row r="60" spans="14:14" x14ac:dyDescent="0.2">
      <c r="N60" s="11"/>
    </row>
    <row r="61" spans="14:14" x14ac:dyDescent="0.2">
      <c r="N61" s="11"/>
    </row>
    <row r="62" spans="14:14" x14ac:dyDescent="0.2">
      <c r="N62" s="11"/>
    </row>
    <row r="63" spans="14:14" x14ac:dyDescent="0.2">
      <c r="N63" s="11"/>
    </row>
    <row r="64" spans="14:14" x14ac:dyDescent="0.2">
      <c r="N64" s="11"/>
    </row>
    <row r="65" spans="14:14" x14ac:dyDescent="0.2">
      <c r="N65" s="11"/>
    </row>
    <row r="66" spans="14:14" x14ac:dyDescent="0.2">
      <c r="N66" s="11"/>
    </row>
    <row r="67" spans="14:14" x14ac:dyDescent="0.2">
      <c r="N67" s="11"/>
    </row>
    <row r="68" spans="14:14" x14ac:dyDescent="0.2">
      <c r="N68" s="11"/>
    </row>
    <row r="69" spans="14:14" x14ac:dyDescent="0.2">
      <c r="N69" s="11"/>
    </row>
    <row r="70" spans="14:14" x14ac:dyDescent="0.2">
      <c r="N70" s="11"/>
    </row>
    <row r="71" spans="14:14" x14ac:dyDescent="0.2">
      <c r="N71" s="11"/>
    </row>
    <row r="72" spans="14:14" x14ac:dyDescent="0.2">
      <c r="N72" s="11"/>
    </row>
    <row r="73" spans="14:14" x14ac:dyDescent="0.2">
      <c r="N73" s="11"/>
    </row>
    <row r="74" spans="14:14" x14ac:dyDescent="0.2">
      <c r="N74" s="11"/>
    </row>
    <row r="75" spans="14:14" x14ac:dyDescent="0.2">
      <c r="N75" s="11"/>
    </row>
    <row r="76" spans="14:14" x14ac:dyDescent="0.2">
      <c r="N76" s="11"/>
    </row>
    <row r="77" spans="14:14" x14ac:dyDescent="0.2">
      <c r="N77" s="11"/>
    </row>
    <row r="78" spans="14:14" x14ac:dyDescent="0.2">
      <c r="N78" s="11"/>
    </row>
    <row r="79" spans="14:14" x14ac:dyDescent="0.2">
      <c r="N79" s="11"/>
    </row>
    <row r="80" spans="14:14" x14ac:dyDescent="0.2">
      <c r="N80" s="11"/>
    </row>
    <row r="81" spans="14:14" x14ac:dyDescent="0.2">
      <c r="N81" s="11"/>
    </row>
    <row r="82" spans="14:14" x14ac:dyDescent="0.2">
      <c r="N82" s="11"/>
    </row>
    <row r="83" spans="14:14" x14ac:dyDescent="0.2">
      <c r="N83" s="11"/>
    </row>
    <row r="84" spans="14:14" x14ac:dyDescent="0.2">
      <c r="N84" s="11"/>
    </row>
    <row r="85" spans="14:14" x14ac:dyDescent="0.2">
      <c r="N85" s="11"/>
    </row>
    <row r="86" spans="14:14" x14ac:dyDescent="0.2">
      <c r="N86" s="11"/>
    </row>
    <row r="87" spans="14:14" x14ac:dyDescent="0.2">
      <c r="N87" s="11"/>
    </row>
    <row r="88" spans="14:14" x14ac:dyDescent="0.2">
      <c r="N88" s="11"/>
    </row>
    <row r="89" spans="14:14" x14ac:dyDescent="0.2">
      <c r="N89" s="11"/>
    </row>
    <row r="90" spans="14:14" x14ac:dyDescent="0.2">
      <c r="N90" s="11"/>
    </row>
    <row r="91" spans="14:14" x14ac:dyDescent="0.2">
      <c r="N91" s="11"/>
    </row>
    <row r="92" spans="14:14" x14ac:dyDescent="0.2">
      <c r="N92" s="11"/>
    </row>
    <row r="93" spans="14:14" x14ac:dyDescent="0.2">
      <c r="N93" s="11"/>
    </row>
    <row r="94" spans="14:14" x14ac:dyDescent="0.2">
      <c r="N94" s="11"/>
    </row>
    <row r="95" spans="14:14" x14ac:dyDescent="0.2">
      <c r="N95" s="11"/>
    </row>
    <row r="96" spans="14:14" x14ac:dyDescent="0.2">
      <c r="N96" s="11"/>
    </row>
    <row r="97" spans="14:14" x14ac:dyDescent="0.2">
      <c r="N97" s="11"/>
    </row>
    <row r="98" spans="14:14" x14ac:dyDescent="0.2">
      <c r="N98" s="11"/>
    </row>
    <row r="99" spans="14:14" x14ac:dyDescent="0.2">
      <c r="N99" s="11"/>
    </row>
    <row r="100" spans="14:14" x14ac:dyDescent="0.2">
      <c r="N100" s="11"/>
    </row>
    <row r="101" spans="14:14" x14ac:dyDescent="0.2">
      <c r="N101" s="11"/>
    </row>
    <row r="102" spans="14:14" x14ac:dyDescent="0.2">
      <c r="N102" s="11"/>
    </row>
    <row r="103" spans="14:14" x14ac:dyDescent="0.2">
      <c r="N103" s="11"/>
    </row>
    <row r="104" spans="14:14" x14ac:dyDescent="0.2">
      <c r="N104" s="11"/>
    </row>
    <row r="105" spans="14:14" x14ac:dyDescent="0.2">
      <c r="N105" s="11"/>
    </row>
    <row r="106" spans="14:14" x14ac:dyDescent="0.2">
      <c r="N106" s="11"/>
    </row>
  </sheetData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D7885-7887-154C-979E-1C92EA3E4340}">
  <dimension ref="A1:K28"/>
  <sheetViews>
    <sheetView zoomScale="190" zoomScaleNormal="190" workbookViewId="0">
      <selection activeCell="D32" sqref="D32"/>
    </sheetView>
  </sheetViews>
  <sheetFormatPr baseColWidth="10" defaultColWidth="11" defaultRowHeight="16" x14ac:dyDescent="0.2"/>
  <cols>
    <col min="1" max="1" width="16.6640625" bestFit="1" customWidth="1"/>
    <col min="2" max="2" width="17.33203125" bestFit="1" customWidth="1"/>
    <col min="4" max="4" width="15.1640625" bestFit="1" customWidth="1"/>
    <col min="5" max="5" width="15.1640625" customWidth="1"/>
    <col min="7" max="7" width="14.5" bestFit="1" customWidth="1"/>
    <col min="8" max="8" width="15.5" bestFit="1" customWidth="1"/>
  </cols>
  <sheetData>
    <row r="1" spans="1:11" x14ac:dyDescent="0.2">
      <c r="A1" t="s">
        <v>319</v>
      </c>
      <c r="B1" t="s">
        <v>320</v>
      </c>
      <c r="C1" s="228">
        <v>3.8</v>
      </c>
      <c r="D1" s="228"/>
      <c r="E1" s="228"/>
      <c r="F1" s="228">
        <v>7.6</v>
      </c>
      <c r="G1" s="228"/>
      <c r="H1" s="228"/>
      <c r="I1" s="228">
        <v>11.4</v>
      </c>
      <c r="J1" s="228"/>
      <c r="K1" s="228"/>
    </row>
    <row r="2" spans="1:11" x14ac:dyDescent="0.2">
      <c r="C2" t="s">
        <v>321</v>
      </c>
      <c r="D2" t="s">
        <v>322</v>
      </c>
      <c r="E2" t="s">
        <v>323</v>
      </c>
      <c r="F2" t="s">
        <v>321</v>
      </c>
      <c r="G2" t="s">
        <v>322</v>
      </c>
      <c r="H2" t="s">
        <v>323</v>
      </c>
      <c r="I2" t="s">
        <v>321</v>
      </c>
      <c r="J2" t="s">
        <v>322</v>
      </c>
      <c r="K2" t="s">
        <v>323</v>
      </c>
    </row>
    <row r="3" spans="1:11" x14ac:dyDescent="0.2">
      <c r="A3">
        <v>0</v>
      </c>
      <c r="B3">
        <v>1</v>
      </c>
    </row>
    <row r="4" spans="1:11" x14ac:dyDescent="0.2">
      <c r="A4">
        <v>9900</v>
      </c>
      <c r="B4">
        <v>1</v>
      </c>
      <c r="C4">
        <v>3800</v>
      </c>
      <c r="D4">
        <v>3800</v>
      </c>
      <c r="E4">
        <v>3800</v>
      </c>
      <c r="F4">
        <v>5200</v>
      </c>
      <c r="G4">
        <v>5200</v>
      </c>
      <c r="H4">
        <v>5200</v>
      </c>
      <c r="I4">
        <v>5200</v>
      </c>
      <c r="J4">
        <v>5200</v>
      </c>
      <c r="K4">
        <v>5200</v>
      </c>
    </row>
    <row r="5" spans="1:11" x14ac:dyDescent="0.2">
      <c r="A5">
        <f>A4+9900</f>
        <v>19800</v>
      </c>
      <c r="B5">
        <v>2</v>
      </c>
      <c r="C5">
        <v>3800</v>
      </c>
      <c r="D5">
        <v>3800</v>
      </c>
      <c r="E5">
        <v>3800</v>
      </c>
      <c r="F5">
        <v>7600</v>
      </c>
      <c r="G5">
        <v>7600</v>
      </c>
      <c r="H5">
        <v>7600</v>
      </c>
      <c r="I5">
        <v>10400</v>
      </c>
      <c r="J5">
        <v>10400</v>
      </c>
      <c r="K5">
        <v>10400</v>
      </c>
    </row>
    <row r="6" spans="1:11" x14ac:dyDescent="0.2">
      <c r="A6">
        <f>9900*4</f>
        <v>39600</v>
      </c>
      <c r="B6">
        <v>4</v>
      </c>
      <c r="C6">
        <v>3800</v>
      </c>
      <c r="D6">
        <v>3800</v>
      </c>
      <c r="E6">
        <v>3800</v>
      </c>
      <c r="F6">
        <v>7600</v>
      </c>
      <c r="G6">
        <v>7600</v>
      </c>
      <c r="H6">
        <v>7600</v>
      </c>
      <c r="I6">
        <v>10400</v>
      </c>
      <c r="J6">
        <v>10400</v>
      </c>
      <c r="K6">
        <v>10400</v>
      </c>
    </row>
    <row r="8" spans="1:11" x14ac:dyDescent="0.2">
      <c r="A8" t="s">
        <v>324</v>
      </c>
      <c r="D8" s="28"/>
      <c r="E8" s="28"/>
    </row>
    <row r="9" spans="1:11" x14ac:dyDescent="0.2">
      <c r="A9" t="s">
        <v>325</v>
      </c>
      <c r="B9" t="s">
        <v>326</v>
      </c>
      <c r="C9">
        <v>3.8</v>
      </c>
      <c r="D9">
        <v>7.6</v>
      </c>
      <c r="E9">
        <v>11.4</v>
      </c>
      <c r="G9" s="28" t="s">
        <v>314</v>
      </c>
    </row>
    <row r="10" spans="1:11" x14ac:dyDescent="0.2">
      <c r="A10">
        <v>0</v>
      </c>
      <c r="B10">
        <v>0</v>
      </c>
      <c r="C10">
        <v>1</v>
      </c>
      <c r="D10">
        <v>0</v>
      </c>
      <c r="E10">
        <v>0</v>
      </c>
      <c r="G10" s="28">
        <v>2</v>
      </c>
    </row>
    <row r="11" spans="1:11" x14ac:dyDescent="0.2">
      <c r="A11">
        <v>3800</v>
      </c>
      <c r="B11">
        <v>3800</v>
      </c>
      <c r="C11">
        <v>1</v>
      </c>
      <c r="D11">
        <v>0</v>
      </c>
      <c r="E11">
        <v>0</v>
      </c>
      <c r="G11" s="28">
        <v>2</v>
      </c>
    </row>
    <row r="12" spans="1:11" x14ac:dyDescent="0.2">
      <c r="A12">
        <v>5200</v>
      </c>
      <c r="B12">
        <v>5200</v>
      </c>
      <c r="C12">
        <v>0</v>
      </c>
      <c r="D12">
        <v>1</v>
      </c>
      <c r="E12">
        <v>0</v>
      </c>
      <c r="G12">
        <v>3</v>
      </c>
    </row>
    <row r="13" spans="1:11" x14ac:dyDescent="0.2">
      <c r="A13">
        <v>5200</v>
      </c>
      <c r="B13">
        <v>5200</v>
      </c>
      <c r="C13">
        <v>0</v>
      </c>
      <c r="D13">
        <v>0</v>
      </c>
      <c r="E13">
        <v>1</v>
      </c>
      <c r="G13">
        <v>4</v>
      </c>
    </row>
    <row r="15" spans="1:11" x14ac:dyDescent="0.2">
      <c r="A15" t="s">
        <v>327</v>
      </c>
    </row>
    <row r="16" spans="1:11" x14ac:dyDescent="0.2">
      <c r="A16" t="s">
        <v>325</v>
      </c>
      <c r="B16" t="s">
        <v>326</v>
      </c>
      <c r="C16">
        <v>3.8</v>
      </c>
      <c r="D16">
        <v>7.6</v>
      </c>
      <c r="E16">
        <v>11.4</v>
      </c>
      <c r="G16" s="28" t="s">
        <v>314</v>
      </c>
    </row>
    <row r="17" spans="1:7" x14ac:dyDescent="0.2">
      <c r="A17">
        <v>0</v>
      </c>
      <c r="B17">
        <v>0</v>
      </c>
      <c r="C17">
        <v>1</v>
      </c>
      <c r="D17">
        <v>0</v>
      </c>
      <c r="E17">
        <v>0</v>
      </c>
      <c r="G17" s="28">
        <v>2</v>
      </c>
    </row>
    <row r="18" spans="1:7" x14ac:dyDescent="0.2">
      <c r="A18">
        <v>3800</v>
      </c>
      <c r="B18">
        <v>3800</v>
      </c>
      <c r="C18">
        <v>1</v>
      </c>
      <c r="D18">
        <v>0</v>
      </c>
      <c r="E18">
        <v>0</v>
      </c>
      <c r="G18" s="28">
        <v>2</v>
      </c>
    </row>
    <row r="19" spans="1:7" x14ac:dyDescent="0.2">
      <c r="A19">
        <v>7600</v>
      </c>
      <c r="B19">
        <v>7600</v>
      </c>
      <c r="C19">
        <v>0</v>
      </c>
      <c r="D19">
        <v>1</v>
      </c>
      <c r="E19">
        <v>0</v>
      </c>
      <c r="G19">
        <v>3</v>
      </c>
    </row>
    <row r="20" spans="1:7" x14ac:dyDescent="0.2">
      <c r="A20">
        <v>10400</v>
      </c>
      <c r="B20">
        <v>10400</v>
      </c>
      <c r="C20">
        <v>0</v>
      </c>
      <c r="D20">
        <v>0</v>
      </c>
      <c r="E20">
        <v>1</v>
      </c>
      <c r="G20">
        <v>4</v>
      </c>
    </row>
    <row r="22" spans="1:7" x14ac:dyDescent="0.2">
      <c r="A22" t="s">
        <v>328</v>
      </c>
    </row>
    <row r="23" spans="1:7" x14ac:dyDescent="0.2">
      <c r="A23">
        <v>0</v>
      </c>
      <c r="B23">
        <v>0</v>
      </c>
      <c r="C23">
        <v>1</v>
      </c>
      <c r="D23">
        <v>0</v>
      </c>
      <c r="E23">
        <v>0</v>
      </c>
      <c r="G23" s="28">
        <v>2</v>
      </c>
    </row>
    <row r="24" spans="1:7" x14ac:dyDescent="0.2">
      <c r="A24">
        <v>3800</v>
      </c>
      <c r="B24">
        <v>3800</v>
      </c>
      <c r="C24">
        <v>1</v>
      </c>
      <c r="D24">
        <v>0</v>
      </c>
      <c r="E24">
        <v>0</v>
      </c>
      <c r="G24" s="28">
        <v>2</v>
      </c>
    </row>
    <row r="25" spans="1:7" x14ac:dyDescent="0.2">
      <c r="A25">
        <v>7600</v>
      </c>
      <c r="B25">
        <v>7600</v>
      </c>
      <c r="C25">
        <v>0</v>
      </c>
      <c r="D25">
        <v>1</v>
      </c>
      <c r="E25">
        <v>0</v>
      </c>
      <c r="G25">
        <v>3</v>
      </c>
    </row>
    <row r="26" spans="1:7" x14ac:dyDescent="0.2">
      <c r="A26">
        <v>10400</v>
      </c>
      <c r="B26">
        <v>10400</v>
      </c>
      <c r="C26">
        <v>0</v>
      </c>
      <c r="D26">
        <v>0</v>
      </c>
      <c r="E26">
        <v>1</v>
      </c>
      <c r="G26">
        <v>4</v>
      </c>
    </row>
    <row r="27" spans="1:7" x14ac:dyDescent="0.2">
      <c r="A27">
        <v>18000</v>
      </c>
      <c r="B27">
        <v>18000</v>
      </c>
      <c r="C27">
        <v>0</v>
      </c>
      <c r="D27">
        <v>1</v>
      </c>
      <c r="E27">
        <v>1</v>
      </c>
      <c r="G27">
        <v>7</v>
      </c>
    </row>
    <row r="28" spans="1:7" x14ac:dyDescent="0.2">
      <c r="A28">
        <v>20800</v>
      </c>
      <c r="B28">
        <v>20800</v>
      </c>
      <c r="C28">
        <v>0</v>
      </c>
      <c r="D28">
        <v>0</v>
      </c>
      <c r="E28">
        <v>2</v>
      </c>
      <c r="G28">
        <v>8</v>
      </c>
    </row>
  </sheetData>
  <mergeCells count="3">
    <mergeCell ref="C1:E1"/>
    <mergeCell ref="F1:H1"/>
    <mergeCell ref="I1:K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CE6B8-13A6-4E49-9459-9C2D166B8204}">
  <dimension ref="A1:V102"/>
  <sheetViews>
    <sheetView zoomScale="140" zoomScaleNormal="140" workbookViewId="0">
      <selection activeCell="S26" sqref="S26"/>
    </sheetView>
  </sheetViews>
  <sheetFormatPr baseColWidth="10" defaultColWidth="11" defaultRowHeight="16" x14ac:dyDescent="0.2"/>
  <cols>
    <col min="1" max="1" width="11.5" bestFit="1" customWidth="1"/>
    <col min="2" max="2" width="11.5" customWidth="1"/>
    <col min="4" max="4" width="7" bestFit="1" customWidth="1"/>
    <col min="5" max="5" width="8" bestFit="1" customWidth="1"/>
    <col min="6" max="6" width="6.83203125" bestFit="1" customWidth="1"/>
    <col min="9" max="9" width="12.83203125" bestFit="1" customWidth="1"/>
    <col min="10" max="10" width="6.6640625" bestFit="1" customWidth="1"/>
    <col min="11" max="11" width="14.83203125" bestFit="1" customWidth="1"/>
    <col min="12" max="12" width="3.1640625" bestFit="1" customWidth="1"/>
    <col min="13" max="13" width="4.33203125" bestFit="1" customWidth="1"/>
    <col min="14" max="95" width="3.1640625" bestFit="1" customWidth="1"/>
  </cols>
  <sheetData>
    <row r="1" spans="1:22" x14ac:dyDescent="0.2">
      <c r="A1" t="s">
        <v>300</v>
      </c>
      <c r="B1" t="s">
        <v>329</v>
      </c>
      <c r="C1" t="s">
        <v>28</v>
      </c>
      <c r="D1" t="s">
        <v>330</v>
      </c>
      <c r="G1" t="s">
        <v>303</v>
      </c>
    </row>
    <row r="2" spans="1:22" x14ac:dyDescent="0.2">
      <c r="A2">
        <v>240</v>
      </c>
      <c r="B2" s="37">
        <v>0.97499999999999998</v>
      </c>
      <c r="C2" t="s">
        <v>29</v>
      </c>
      <c r="D2">
        <v>50</v>
      </c>
      <c r="E2" t="s">
        <v>24</v>
      </c>
      <c r="G2" t="s">
        <v>36</v>
      </c>
    </row>
    <row r="3" spans="1:22" x14ac:dyDescent="0.2">
      <c r="A3">
        <v>208</v>
      </c>
      <c r="C3" t="s">
        <v>307</v>
      </c>
      <c r="G3" t="s">
        <v>309</v>
      </c>
    </row>
    <row r="4" spans="1:22" x14ac:dyDescent="0.2">
      <c r="D4" s="228" t="s">
        <v>186</v>
      </c>
      <c r="E4" s="228"/>
      <c r="K4" t="s">
        <v>310</v>
      </c>
    </row>
    <row r="5" spans="1:22" x14ac:dyDescent="0.2">
      <c r="B5" t="s">
        <v>75</v>
      </c>
      <c r="C5" t="s">
        <v>312</v>
      </c>
      <c r="D5">
        <v>3.8</v>
      </c>
      <c r="E5">
        <v>7.6</v>
      </c>
      <c r="F5">
        <v>11.4</v>
      </c>
      <c r="G5" t="s">
        <v>313</v>
      </c>
      <c r="J5" t="s">
        <v>314</v>
      </c>
      <c r="K5">
        <v>1</v>
      </c>
      <c r="L5">
        <v>2</v>
      </c>
      <c r="M5">
        <v>3</v>
      </c>
      <c r="N5">
        <v>4</v>
      </c>
      <c r="O5">
        <v>5</v>
      </c>
      <c r="P5">
        <v>6</v>
      </c>
      <c r="Q5">
        <v>7</v>
      </c>
      <c r="R5">
        <v>8</v>
      </c>
      <c r="S5">
        <v>9</v>
      </c>
      <c r="T5">
        <v>10</v>
      </c>
      <c r="U5">
        <v>11</v>
      </c>
      <c r="V5">
        <v>12</v>
      </c>
    </row>
    <row r="6" spans="1:22" x14ac:dyDescent="0.2">
      <c r="B6">
        <f>C6*'Solar Sizing'!$E$29</f>
        <v>8</v>
      </c>
      <c r="C6">
        <v>1</v>
      </c>
      <c r="D6">
        <v>1</v>
      </c>
      <c r="E6">
        <v>0</v>
      </c>
      <c r="F6">
        <v>0</v>
      </c>
      <c r="G6">
        <v>1</v>
      </c>
      <c r="J6">
        <v>1</v>
      </c>
      <c r="K6" s="24">
        <f>ROUNDDOWN('Battery + Solar'!D98/J6,0)</f>
        <v>52</v>
      </c>
    </row>
    <row r="7" spans="1:22" x14ac:dyDescent="0.2">
      <c r="B7">
        <f>C7*'Solar Sizing'!$E$29</f>
        <v>16</v>
      </c>
      <c r="C7">
        <v>2</v>
      </c>
      <c r="D7">
        <v>1</v>
      </c>
      <c r="E7">
        <v>0</v>
      </c>
      <c r="F7">
        <v>0</v>
      </c>
      <c r="G7">
        <v>2</v>
      </c>
      <c r="J7">
        <v>2</v>
      </c>
      <c r="K7" s="24">
        <f>ROUNDDOWN('Battery + Solar'!D98/J7,0)</f>
        <v>26</v>
      </c>
      <c r="L7">
        <f>ROUNDDOWN(('Battery + Solar'!D98-K7)*1,0)</f>
        <v>26</v>
      </c>
    </row>
    <row r="8" spans="1:22" x14ac:dyDescent="0.2">
      <c r="B8">
        <f>C8*'Solar Sizing'!$E$30</f>
        <v>20</v>
      </c>
      <c r="C8">
        <v>2</v>
      </c>
      <c r="D8">
        <v>0</v>
      </c>
      <c r="E8">
        <v>1</v>
      </c>
      <c r="F8">
        <v>0</v>
      </c>
      <c r="G8">
        <v>3</v>
      </c>
      <c r="J8">
        <v>3</v>
      </c>
      <c r="K8" s="24">
        <f>ROUNDDOWN('Battery + Solar'!D98/J8,0)</f>
        <v>17</v>
      </c>
      <c r="L8">
        <f>ROUNDDOWN(('Battery + Solar'!D98-K8)/(J8-1),0)</f>
        <v>17</v>
      </c>
      <c r="M8" s="11">
        <f>'Battery + Solar'!D98-K8-L8</f>
        <v>18</v>
      </c>
    </row>
    <row r="9" spans="1:22" x14ac:dyDescent="0.2">
      <c r="B9">
        <f>C9*'Solar Sizing'!$E$30</f>
        <v>30</v>
      </c>
      <c r="C9">
        <v>3</v>
      </c>
      <c r="D9">
        <v>0</v>
      </c>
      <c r="E9">
        <v>1</v>
      </c>
      <c r="F9">
        <v>0</v>
      </c>
      <c r="G9">
        <v>4</v>
      </c>
      <c r="J9">
        <v>4</v>
      </c>
      <c r="K9" s="24">
        <f>ROUNDDOWN('Battery + Solar'!D98/J9,0)</f>
        <v>13</v>
      </c>
      <c r="L9">
        <f>ROUNDDOWN(('Battery + Solar'!D98-K9)/(J9-1),0)</f>
        <v>13</v>
      </c>
      <c r="M9">
        <f>ROUNDDOWN(('Battery + Solar'!D98-K9-L9)/(J9-2),0)</f>
        <v>13</v>
      </c>
      <c r="N9" s="11">
        <f>ROUNDDOWN(('Battery + Solar'!D98-K9-L9-M9)/($J9-3),0)</f>
        <v>13</v>
      </c>
    </row>
    <row r="10" spans="1:22" x14ac:dyDescent="0.2">
      <c r="B10">
        <f>C10*'Solar Sizing'!$E$31</f>
        <v>40</v>
      </c>
      <c r="C10">
        <v>4</v>
      </c>
      <c r="D10">
        <v>0</v>
      </c>
      <c r="E10">
        <v>0</v>
      </c>
      <c r="F10">
        <v>1</v>
      </c>
      <c r="G10">
        <v>5</v>
      </c>
      <c r="J10">
        <v>5</v>
      </c>
      <c r="K10" s="24">
        <f>ROUNDDOWN('Battery + Solar'!D98/J10,0)</f>
        <v>10</v>
      </c>
      <c r="L10">
        <f>ROUNDDOWN(('Battery + Solar'!D98-K10)/(J10-1),0)</f>
        <v>10</v>
      </c>
      <c r="M10">
        <f>ROUNDDOWN(('Battery + Solar'!D98-K10-L10)/(J10-2),0)</f>
        <v>10</v>
      </c>
      <c r="N10" s="11">
        <f>ROUNDDOWN(('Battery + Solar'!D98-K10-L10-M10)/($J10-3),0)</f>
        <v>11</v>
      </c>
      <c r="O10">
        <f>ROUNDDOWN(('Battery + Solar'!D98-K10-L10-M10-N10)/(J10-4),0)</f>
        <v>11</v>
      </c>
    </row>
    <row r="11" spans="1:22" x14ac:dyDescent="0.2">
      <c r="B11">
        <f>C11*'Solar Sizing'!$E$30</f>
        <v>60</v>
      </c>
      <c r="C11">
        <v>6</v>
      </c>
      <c r="D11">
        <v>0</v>
      </c>
      <c r="E11">
        <v>2</v>
      </c>
      <c r="F11">
        <v>0</v>
      </c>
      <c r="G11">
        <v>7</v>
      </c>
      <c r="J11">
        <v>6</v>
      </c>
      <c r="K11" s="24">
        <f>ROUNDDOWN('Battery + Solar'!D98/J11,0)</f>
        <v>8</v>
      </c>
      <c r="L11">
        <f>ROUNDDOWN(('Battery + Solar'!D98-K11)/(J11-1),0)</f>
        <v>8</v>
      </c>
      <c r="M11">
        <f>ROUNDDOWN(('Battery + Solar'!D98-K11-L11)/(J11-2),0)</f>
        <v>9</v>
      </c>
      <c r="N11" s="11">
        <f>ROUNDDOWN(('Battery + Solar'!D98-K11-L11-M11)/($J11-3),0)</f>
        <v>9</v>
      </c>
      <c r="O11">
        <f>ROUNDDOWN(('Battery + Solar'!D98-K11-L11-M11-N11)/(J11-4),0)</f>
        <v>9</v>
      </c>
      <c r="P11">
        <f>ROUNDDOWN(('Battery + Solar'!D98-K11-L11-M11-N11-O11)/(J11-5),0)</f>
        <v>9</v>
      </c>
    </row>
    <row r="12" spans="1:22" x14ac:dyDescent="0.2">
      <c r="B12">
        <f>C12*'Solar Sizing'!$E$31</f>
        <v>80</v>
      </c>
      <c r="C12">
        <v>8</v>
      </c>
      <c r="D12">
        <v>0</v>
      </c>
      <c r="E12">
        <v>0</v>
      </c>
      <c r="F12">
        <v>2</v>
      </c>
      <c r="G12">
        <v>9</v>
      </c>
      <c r="J12">
        <v>7</v>
      </c>
      <c r="K12" s="24">
        <f>ROUNDDOWN('Battery + Solar'!D98/J12,0)</f>
        <v>7</v>
      </c>
      <c r="L12">
        <f>ROUNDDOWN(('Battery + Solar'!D98-K12)/(J12-1),0)</f>
        <v>7</v>
      </c>
      <c r="M12">
        <f>ROUNDDOWN(('Battery + Solar'!D98-K12-L12)/(J12-2),0)</f>
        <v>7</v>
      </c>
      <c r="N12" s="11">
        <f>ROUNDDOWN(('Battery + Solar'!D98-K12-L12-M12)/($J12-3),0)</f>
        <v>7</v>
      </c>
      <c r="O12">
        <f>ROUNDDOWN(('Battery + Solar'!D98-K12-L12-M12-N12)/(J12-4),0)</f>
        <v>8</v>
      </c>
      <c r="P12">
        <f>ROUNDDOWN(('Battery + Solar'!D98-K12-L12-M12-N12-O12)/(J12-5),0)</f>
        <v>8</v>
      </c>
      <c r="Q12">
        <f>ROUNDDOWN(('Battery + Solar'!D98-K12-L12-M12-N12-O12-P12)/(J12-6),0)</f>
        <v>8</v>
      </c>
    </row>
    <row r="13" spans="1:22" x14ac:dyDescent="0.2">
      <c r="J13">
        <v>8</v>
      </c>
      <c r="K13" s="24">
        <f>ROUNDDOWN('Battery + Solar'!D98/J13,0)</f>
        <v>6</v>
      </c>
      <c r="L13">
        <f>ROUNDDOWN(('Battery + Solar'!D98-K13)/(J13-1),0)</f>
        <v>6</v>
      </c>
      <c r="M13">
        <f>ROUNDDOWN(('Battery + Solar'!D98-K13-L13)/(J13-2),0)</f>
        <v>6</v>
      </c>
      <c r="N13" s="11">
        <f>ROUNDDOWN(('Battery + Solar'!D98-K13-L13-M13)/($J13-3),0)</f>
        <v>6</v>
      </c>
      <c r="O13">
        <f>ROUNDDOWN(('Battery + Solar'!D98-K13-L13-M13-N13)/(J13-4),0)</f>
        <v>7</v>
      </c>
      <c r="P13">
        <f>ROUNDDOWN(('Battery + Solar'!D98-K13-L13-M13-N13-O13)/(J13-5),0)</f>
        <v>7</v>
      </c>
      <c r="Q13">
        <f>ROUNDDOWN(('Battery + Solar'!D98-K13-L13-M13-N13-O13-P13)/(J13-6),0)</f>
        <v>7</v>
      </c>
      <c r="R13">
        <f>ROUNDDOWN(('Battery + Solar'!D98-K13-L13-M13-N13-O13-P13-Q13)/(J13-7),0)</f>
        <v>7</v>
      </c>
    </row>
    <row r="15" spans="1:22" x14ac:dyDescent="0.2">
      <c r="N15" s="11"/>
    </row>
    <row r="17" spans="3:14" x14ac:dyDescent="0.2">
      <c r="C17" s="24"/>
    </row>
    <row r="18" spans="3:14" x14ac:dyDescent="0.2">
      <c r="J18" s="24"/>
    </row>
    <row r="19" spans="3:14" x14ac:dyDescent="0.2">
      <c r="K19" s="24"/>
    </row>
    <row r="20" spans="3:14" x14ac:dyDescent="0.2">
      <c r="K20" s="24"/>
    </row>
    <row r="21" spans="3:14" x14ac:dyDescent="0.2">
      <c r="K21" s="24"/>
      <c r="M21" s="11"/>
    </row>
    <row r="22" spans="3:14" x14ac:dyDescent="0.2">
      <c r="K22" s="24"/>
      <c r="N22" s="11"/>
    </row>
    <row r="23" spans="3:14" x14ac:dyDescent="0.2">
      <c r="K23" s="24"/>
      <c r="N23" s="11"/>
    </row>
    <row r="24" spans="3:14" x14ac:dyDescent="0.2">
      <c r="K24" s="24"/>
      <c r="N24" s="11"/>
    </row>
    <row r="25" spans="3:14" x14ac:dyDescent="0.2">
      <c r="K25" s="24"/>
      <c r="N25" s="11"/>
    </row>
    <row r="26" spans="3:14" x14ac:dyDescent="0.2">
      <c r="K26" s="24"/>
      <c r="N26" s="11"/>
    </row>
    <row r="27" spans="3:14" x14ac:dyDescent="0.2">
      <c r="K27" s="24"/>
      <c r="N27" s="11"/>
    </row>
    <row r="28" spans="3:14" x14ac:dyDescent="0.2">
      <c r="K28" s="24"/>
      <c r="N28" s="11"/>
    </row>
    <row r="29" spans="3:14" x14ac:dyDescent="0.2">
      <c r="K29" s="24"/>
      <c r="N29" s="11"/>
    </row>
    <row r="30" spans="3:14" x14ac:dyDescent="0.2">
      <c r="K30" s="24"/>
      <c r="N30" s="11"/>
    </row>
    <row r="31" spans="3:14" x14ac:dyDescent="0.2">
      <c r="N31" s="11"/>
    </row>
    <row r="32" spans="3:14" x14ac:dyDescent="0.2">
      <c r="N32" s="11"/>
    </row>
    <row r="33" spans="14:14" x14ac:dyDescent="0.2">
      <c r="N33" s="11"/>
    </row>
    <row r="34" spans="14:14" x14ac:dyDescent="0.2">
      <c r="N34" s="11"/>
    </row>
    <row r="35" spans="14:14" x14ac:dyDescent="0.2">
      <c r="N35" s="11"/>
    </row>
    <row r="36" spans="14:14" x14ac:dyDescent="0.2">
      <c r="N36" s="11"/>
    </row>
    <row r="37" spans="14:14" x14ac:dyDescent="0.2">
      <c r="N37" s="11"/>
    </row>
    <row r="38" spans="14:14" x14ac:dyDescent="0.2">
      <c r="N38" s="11"/>
    </row>
    <row r="39" spans="14:14" x14ac:dyDescent="0.2">
      <c r="N39" s="11"/>
    </row>
    <row r="40" spans="14:14" x14ac:dyDescent="0.2">
      <c r="N40" s="11"/>
    </row>
    <row r="41" spans="14:14" x14ac:dyDescent="0.2">
      <c r="N41" s="11"/>
    </row>
    <row r="42" spans="14:14" x14ac:dyDescent="0.2">
      <c r="N42" s="11"/>
    </row>
    <row r="43" spans="14:14" x14ac:dyDescent="0.2">
      <c r="N43" s="11"/>
    </row>
    <row r="44" spans="14:14" x14ac:dyDescent="0.2">
      <c r="N44" s="11"/>
    </row>
    <row r="45" spans="14:14" x14ac:dyDescent="0.2">
      <c r="N45" s="11"/>
    </row>
    <row r="46" spans="14:14" x14ac:dyDescent="0.2">
      <c r="N46" s="11"/>
    </row>
    <row r="47" spans="14:14" x14ac:dyDescent="0.2">
      <c r="N47" s="11"/>
    </row>
    <row r="48" spans="14:14" x14ac:dyDescent="0.2">
      <c r="N48" s="11"/>
    </row>
    <row r="49" spans="14:14" x14ac:dyDescent="0.2">
      <c r="N49" s="11"/>
    </row>
    <row r="50" spans="14:14" x14ac:dyDescent="0.2">
      <c r="N50" s="11"/>
    </row>
    <row r="51" spans="14:14" x14ac:dyDescent="0.2">
      <c r="N51" s="11"/>
    </row>
    <row r="52" spans="14:14" x14ac:dyDescent="0.2">
      <c r="N52" s="11"/>
    </row>
    <row r="53" spans="14:14" x14ac:dyDescent="0.2">
      <c r="N53" s="11"/>
    </row>
    <row r="54" spans="14:14" x14ac:dyDescent="0.2">
      <c r="N54" s="11"/>
    </row>
    <row r="55" spans="14:14" x14ac:dyDescent="0.2">
      <c r="N55" s="11"/>
    </row>
    <row r="56" spans="14:14" x14ac:dyDescent="0.2">
      <c r="N56" s="11"/>
    </row>
    <row r="57" spans="14:14" x14ac:dyDescent="0.2">
      <c r="N57" s="11"/>
    </row>
    <row r="58" spans="14:14" x14ac:dyDescent="0.2">
      <c r="N58" s="11"/>
    </row>
    <row r="59" spans="14:14" x14ac:dyDescent="0.2">
      <c r="N59" s="11"/>
    </row>
    <row r="60" spans="14:14" x14ac:dyDescent="0.2">
      <c r="N60" s="11"/>
    </row>
    <row r="61" spans="14:14" x14ac:dyDescent="0.2">
      <c r="N61" s="11"/>
    </row>
    <row r="62" spans="14:14" x14ac:dyDescent="0.2">
      <c r="N62" s="11"/>
    </row>
    <row r="63" spans="14:14" x14ac:dyDescent="0.2">
      <c r="N63" s="11"/>
    </row>
    <row r="64" spans="14:14" x14ac:dyDescent="0.2">
      <c r="N64" s="11"/>
    </row>
    <row r="65" spans="14:14" x14ac:dyDescent="0.2">
      <c r="N65" s="11"/>
    </row>
    <row r="66" spans="14:14" x14ac:dyDescent="0.2">
      <c r="N66" s="11"/>
    </row>
    <row r="67" spans="14:14" x14ac:dyDescent="0.2">
      <c r="N67" s="11"/>
    </row>
    <row r="68" spans="14:14" x14ac:dyDescent="0.2">
      <c r="N68" s="11"/>
    </row>
    <row r="69" spans="14:14" x14ac:dyDescent="0.2">
      <c r="N69" s="11"/>
    </row>
    <row r="70" spans="14:14" x14ac:dyDescent="0.2">
      <c r="N70" s="11"/>
    </row>
    <row r="71" spans="14:14" x14ac:dyDescent="0.2">
      <c r="N71" s="11"/>
    </row>
    <row r="72" spans="14:14" x14ac:dyDescent="0.2">
      <c r="N72" s="11"/>
    </row>
    <row r="73" spans="14:14" x14ac:dyDescent="0.2">
      <c r="N73" s="11"/>
    </row>
    <row r="74" spans="14:14" x14ac:dyDescent="0.2">
      <c r="N74" s="11"/>
    </row>
    <row r="75" spans="14:14" x14ac:dyDescent="0.2">
      <c r="N75" s="11"/>
    </row>
    <row r="76" spans="14:14" x14ac:dyDescent="0.2">
      <c r="N76" s="11"/>
    </row>
    <row r="77" spans="14:14" x14ac:dyDescent="0.2">
      <c r="N77" s="11"/>
    </row>
    <row r="78" spans="14:14" x14ac:dyDescent="0.2">
      <c r="N78" s="11"/>
    </row>
    <row r="79" spans="14:14" x14ac:dyDescent="0.2">
      <c r="N79" s="11"/>
    </row>
    <row r="80" spans="14:14" x14ac:dyDescent="0.2">
      <c r="N80" s="11"/>
    </row>
    <row r="81" spans="14:14" x14ac:dyDescent="0.2">
      <c r="N81" s="11"/>
    </row>
    <row r="82" spans="14:14" x14ac:dyDescent="0.2">
      <c r="N82" s="11"/>
    </row>
    <row r="83" spans="14:14" x14ac:dyDescent="0.2">
      <c r="N83" s="11"/>
    </row>
    <row r="84" spans="14:14" x14ac:dyDescent="0.2">
      <c r="N84" s="11"/>
    </row>
    <row r="85" spans="14:14" x14ac:dyDescent="0.2">
      <c r="N85" s="11"/>
    </row>
    <row r="86" spans="14:14" x14ac:dyDescent="0.2">
      <c r="N86" s="11"/>
    </row>
    <row r="87" spans="14:14" x14ac:dyDescent="0.2">
      <c r="N87" s="11"/>
    </row>
    <row r="88" spans="14:14" x14ac:dyDescent="0.2">
      <c r="N88" s="11"/>
    </row>
    <row r="89" spans="14:14" x14ac:dyDescent="0.2">
      <c r="N89" s="11"/>
    </row>
    <row r="90" spans="14:14" x14ac:dyDescent="0.2">
      <c r="N90" s="11"/>
    </row>
    <row r="91" spans="14:14" x14ac:dyDescent="0.2">
      <c r="N91" s="11"/>
    </row>
    <row r="92" spans="14:14" x14ac:dyDescent="0.2">
      <c r="N92" s="11"/>
    </row>
    <row r="93" spans="14:14" x14ac:dyDescent="0.2">
      <c r="N93" s="11"/>
    </row>
    <row r="94" spans="14:14" x14ac:dyDescent="0.2">
      <c r="N94" s="11"/>
    </row>
    <row r="95" spans="14:14" x14ac:dyDescent="0.2">
      <c r="N95" s="11"/>
    </row>
    <row r="96" spans="14:14" x14ac:dyDescent="0.2">
      <c r="N96" s="11"/>
    </row>
    <row r="97" spans="14:14" x14ac:dyDescent="0.2">
      <c r="N97" s="11"/>
    </row>
    <row r="98" spans="14:14" x14ac:dyDescent="0.2">
      <c r="N98" s="11"/>
    </row>
    <row r="99" spans="14:14" x14ac:dyDescent="0.2">
      <c r="N99" s="11"/>
    </row>
    <row r="100" spans="14:14" x14ac:dyDescent="0.2">
      <c r="N100" s="11"/>
    </row>
    <row r="101" spans="14:14" x14ac:dyDescent="0.2">
      <c r="N101" s="11"/>
    </row>
    <row r="102" spans="14:14" x14ac:dyDescent="0.2">
      <c r="N102" s="11"/>
    </row>
  </sheetData>
  <mergeCells count="1">
    <mergeCell ref="D4:E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A0A00-C6BE-3446-8185-1D9FCC8D3005}">
  <dimension ref="A1:D30"/>
  <sheetViews>
    <sheetView topLeftCell="A6" zoomScale="140" zoomScaleNormal="140" workbookViewId="0">
      <selection activeCell="C46" sqref="C46"/>
    </sheetView>
  </sheetViews>
  <sheetFormatPr baseColWidth="10" defaultColWidth="11" defaultRowHeight="16" x14ac:dyDescent="0.2"/>
  <cols>
    <col min="1" max="1" width="26.83203125" bestFit="1" customWidth="1"/>
    <col min="2" max="2" width="15" bestFit="1" customWidth="1"/>
    <col min="3" max="3" width="11.5" bestFit="1" customWidth="1"/>
    <col min="4" max="4" width="12.33203125" bestFit="1" customWidth="1"/>
  </cols>
  <sheetData>
    <row r="1" spans="1:4" x14ac:dyDescent="0.2">
      <c r="A1" s="14" t="s">
        <v>331</v>
      </c>
      <c r="B1" s="14" t="s">
        <v>332</v>
      </c>
      <c r="C1" s="14" t="s">
        <v>326</v>
      </c>
      <c r="D1" s="14" t="s">
        <v>333</v>
      </c>
    </row>
    <row r="2" spans="1:4" x14ac:dyDescent="0.2">
      <c r="A2" s="26"/>
      <c r="B2" s="26" t="s">
        <v>192</v>
      </c>
      <c r="C2" s="26" t="s">
        <v>192</v>
      </c>
      <c r="D2" s="26" t="s">
        <v>334</v>
      </c>
    </row>
    <row r="3" spans="1:4" x14ac:dyDescent="0.2">
      <c r="A3" t="s">
        <v>190</v>
      </c>
      <c r="B3">
        <v>0</v>
      </c>
      <c r="C3">
        <v>0</v>
      </c>
      <c r="D3">
        <v>0</v>
      </c>
    </row>
    <row r="4" spans="1:4" x14ac:dyDescent="0.2">
      <c r="A4" t="s">
        <v>335</v>
      </c>
      <c r="B4">
        <v>3500</v>
      </c>
      <c r="C4">
        <v>18720</v>
      </c>
      <c r="D4">
        <v>2</v>
      </c>
    </row>
    <row r="5" spans="1:4" x14ac:dyDescent="0.2">
      <c r="A5" t="s">
        <v>336</v>
      </c>
      <c r="B5">
        <v>800</v>
      </c>
      <c r="C5">
        <v>800</v>
      </c>
      <c r="D5">
        <v>1</v>
      </c>
    </row>
    <row r="6" spans="1:4" x14ac:dyDescent="0.2">
      <c r="A6" t="s">
        <v>143</v>
      </c>
      <c r="B6">
        <v>1400</v>
      </c>
      <c r="C6">
        <v>1400</v>
      </c>
      <c r="D6">
        <v>1.1000000000000001</v>
      </c>
    </row>
    <row r="7" spans="1:4" x14ac:dyDescent="0.2">
      <c r="A7" t="s">
        <v>337</v>
      </c>
      <c r="B7">
        <v>3000</v>
      </c>
      <c r="C7">
        <v>4500</v>
      </c>
      <c r="D7">
        <v>1</v>
      </c>
    </row>
    <row r="8" spans="1:4" x14ac:dyDescent="0.2">
      <c r="A8" t="s">
        <v>338</v>
      </c>
      <c r="B8">
        <v>2100</v>
      </c>
      <c r="C8">
        <v>2100</v>
      </c>
      <c r="D8">
        <v>0.5</v>
      </c>
    </row>
    <row r="9" spans="1:4" x14ac:dyDescent="0.2">
      <c r="A9" t="s">
        <v>339</v>
      </c>
      <c r="B9">
        <v>7700</v>
      </c>
      <c r="C9">
        <v>7700</v>
      </c>
      <c r="D9">
        <v>4</v>
      </c>
    </row>
    <row r="10" spans="1:4" x14ac:dyDescent="0.2">
      <c r="A10" t="s">
        <v>340</v>
      </c>
    </row>
    <row r="11" spans="1:4" x14ac:dyDescent="0.2">
      <c r="A11" t="s">
        <v>341</v>
      </c>
      <c r="B11">
        <v>1200</v>
      </c>
      <c r="C11">
        <v>1200</v>
      </c>
      <c r="D11">
        <v>4</v>
      </c>
    </row>
    <row r="12" spans="1:4" x14ac:dyDescent="0.2">
      <c r="A12" t="s">
        <v>342</v>
      </c>
      <c r="B12">
        <v>300</v>
      </c>
      <c r="C12">
        <v>300</v>
      </c>
      <c r="D12">
        <v>24</v>
      </c>
    </row>
    <row r="13" spans="1:4" x14ac:dyDescent="0.2">
      <c r="A13" t="s">
        <v>220</v>
      </c>
      <c r="B13">
        <v>650</v>
      </c>
      <c r="C13">
        <v>1200</v>
      </c>
      <c r="D13">
        <v>0.05</v>
      </c>
    </row>
    <row r="14" spans="1:4" x14ac:dyDescent="0.2">
      <c r="A14" t="s">
        <v>343</v>
      </c>
      <c r="B14">
        <v>800</v>
      </c>
      <c r="C14">
        <v>2350</v>
      </c>
      <c r="D14">
        <v>4</v>
      </c>
    </row>
    <row r="15" spans="1:4" x14ac:dyDescent="0.2">
      <c r="A15" t="s">
        <v>344</v>
      </c>
      <c r="B15">
        <v>1500</v>
      </c>
      <c r="C15">
        <v>1500</v>
      </c>
      <c r="D15">
        <v>0.1</v>
      </c>
    </row>
    <row r="16" spans="1:4" x14ac:dyDescent="0.2">
      <c r="A16" t="s">
        <v>221</v>
      </c>
      <c r="B16">
        <v>100</v>
      </c>
      <c r="C16">
        <v>100</v>
      </c>
      <c r="D16">
        <v>6.3</v>
      </c>
    </row>
    <row r="17" spans="1:4" x14ac:dyDescent="0.2">
      <c r="A17" t="s">
        <v>188</v>
      </c>
      <c r="B17">
        <v>20</v>
      </c>
      <c r="C17">
        <v>20</v>
      </c>
      <c r="D17">
        <v>10.5</v>
      </c>
    </row>
    <row r="18" spans="1:4" x14ac:dyDescent="0.2">
      <c r="A18" t="s">
        <v>134</v>
      </c>
      <c r="B18">
        <v>1200</v>
      </c>
      <c r="C18">
        <v>1200</v>
      </c>
      <c r="D18">
        <v>0.6</v>
      </c>
    </row>
    <row r="19" spans="1:4" x14ac:dyDescent="0.2">
      <c r="A19" t="s">
        <v>345</v>
      </c>
      <c r="B19">
        <v>10</v>
      </c>
      <c r="C19">
        <v>10</v>
      </c>
      <c r="D19">
        <v>2.1</v>
      </c>
    </row>
    <row r="20" spans="1:4" x14ac:dyDescent="0.2">
      <c r="A20" t="s">
        <v>114</v>
      </c>
      <c r="B20">
        <v>400</v>
      </c>
      <c r="C20">
        <v>800</v>
      </c>
      <c r="D20">
        <v>9</v>
      </c>
    </row>
    <row r="21" spans="1:4" x14ac:dyDescent="0.2">
      <c r="A21" t="s">
        <v>346</v>
      </c>
      <c r="B21">
        <v>800</v>
      </c>
      <c r="C21">
        <v>1300</v>
      </c>
      <c r="D21">
        <v>2</v>
      </c>
    </row>
    <row r="22" spans="1:4" x14ac:dyDescent="0.2">
      <c r="A22" t="s">
        <v>347</v>
      </c>
    </row>
    <row r="23" spans="1:4" x14ac:dyDescent="0.2">
      <c r="A23" t="s">
        <v>348</v>
      </c>
      <c r="B23">
        <v>80</v>
      </c>
      <c r="C23">
        <v>80</v>
      </c>
      <c r="D23">
        <v>3.5</v>
      </c>
    </row>
    <row r="24" spans="1:4" x14ac:dyDescent="0.2">
      <c r="A24" t="s">
        <v>349</v>
      </c>
      <c r="B24">
        <v>1000</v>
      </c>
      <c r="C24">
        <v>1000</v>
      </c>
      <c r="D24">
        <v>0.5</v>
      </c>
    </row>
    <row r="25" spans="1:4" x14ac:dyDescent="0.2">
      <c r="A25" t="s">
        <v>148</v>
      </c>
      <c r="B25">
        <v>500</v>
      </c>
      <c r="C25">
        <v>500</v>
      </c>
      <c r="D25">
        <v>2.2000000000000002</v>
      </c>
    </row>
    <row r="26" spans="1:4" x14ac:dyDescent="0.2">
      <c r="A26" t="s">
        <v>350</v>
      </c>
    </row>
    <row r="27" spans="1:4" x14ac:dyDescent="0.2">
      <c r="A27" t="s">
        <v>166</v>
      </c>
      <c r="B27">
        <v>1920</v>
      </c>
      <c r="C27">
        <v>4560</v>
      </c>
      <c r="D27">
        <v>0.5</v>
      </c>
    </row>
    <row r="28" spans="1:4" x14ac:dyDescent="0.2">
      <c r="A28" t="s">
        <v>222</v>
      </c>
      <c r="B28">
        <v>10</v>
      </c>
      <c r="C28">
        <v>10</v>
      </c>
      <c r="D28">
        <v>10</v>
      </c>
    </row>
    <row r="29" spans="1:4" x14ac:dyDescent="0.2">
      <c r="A29" t="s">
        <v>351</v>
      </c>
      <c r="B29">
        <v>2500</v>
      </c>
      <c r="C29">
        <v>6000</v>
      </c>
    </row>
    <row r="30" spans="1:4" x14ac:dyDescent="0.2">
      <c r="A30" t="s">
        <v>352</v>
      </c>
      <c r="B30">
        <v>4700</v>
      </c>
      <c r="C30">
        <v>10000</v>
      </c>
    </row>
  </sheetData>
  <autoFilter ref="A1:D1" xr:uid="{AFAA0A00-C6BE-3446-8185-1D9FCC8D3005}">
    <sortState xmlns:xlrd2="http://schemas.microsoft.com/office/spreadsheetml/2017/richdata2" ref="A2:D28">
      <sortCondition ref="A1:A28"/>
    </sortState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1DD409AC535547A84E9574CB9D9F7D" ma:contentTypeVersion="18" ma:contentTypeDescription="Create a new document." ma:contentTypeScope="" ma:versionID="2137a9caf3acad52be5eb6f15a94b7f0">
  <xsd:schema xmlns:xsd="http://www.w3.org/2001/XMLSchema" xmlns:xs="http://www.w3.org/2001/XMLSchema" xmlns:p="http://schemas.microsoft.com/office/2006/metadata/properties" xmlns:ns2="a715f132-42ea-430d-96a8-3fbe536670da" xmlns:ns3="4ad6e27d-556d-411e-99cd-4070835d3dc1" targetNamespace="http://schemas.microsoft.com/office/2006/metadata/properties" ma:root="true" ma:fieldsID="bcd7ea4f1d92cb7a162e4af3c256c238" ns2:_="" ns3:_="">
    <xsd:import namespace="a715f132-42ea-430d-96a8-3fbe536670da"/>
    <xsd:import namespace="4ad6e27d-556d-411e-99cd-4070835d3d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15f132-42ea-430d-96a8-3fbe536670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d721607-5df7-48b3-8649-a8c59c2753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d6e27d-556d-411e-99cd-4070835d3dc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de8b016-6172-4dbd-beb3-ba5c51334ffa}" ma:internalName="TaxCatchAll" ma:showField="CatchAllData" ma:web="4ad6e27d-556d-411e-99cd-4070835d3d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715f132-42ea-430d-96a8-3fbe536670da">
      <Terms xmlns="http://schemas.microsoft.com/office/infopath/2007/PartnerControls"/>
    </lcf76f155ced4ddcb4097134ff3c332f>
    <TaxCatchAll xmlns="4ad6e27d-556d-411e-99cd-4070835d3dc1" xsi:nil="true"/>
  </documentManagement>
</p:properties>
</file>

<file path=customXml/itemProps1.xml><?xml version="1.0" encoding="utf-8"?>
<ds:datastoreItem xmlns:ds="http://schemas.openxmlformats.org/officeDocument/2006/customXml" ds:itemID="{36354331-8AF9-4D86-A364-E1045031BE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4128F3E-21A8-4501-89FD-C1AACF83D6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15f132-42ea-430d-96a8-3fbe536670da"/>
    <ds:schemaRef ds:uri="4ad6e27d-556d-411e-99cd-4070835d3d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ED4E8C0-4138-4332-935E-B79D379C39B5}">
  <ds:schemaRefs>
    <ds:schemaRef ds:uri="http://purl.org/dc/terms/"/>
    <ds:schemaRef ds:uri="a715f132-42ea-430d-96a8-3fbe536670da"/>
    <ds:schemaRef ds:uri="http://www.w3.org/XML/1998/namespace"/>
    <ds:schemaRef ds:uri="4ad6e27d-556d-411e-99cd-4070835d3dc1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9</vt:i4>
      </vt:variant>
    </vt:vector>
  </HeadingPairs>
  <TitlesOfParts>
    <vt:vector size="17" baseType="lpstr">
      <vt:lpstr>Solar Sizing</vt:lpstr>
      <vt:lpstr>Battery Sizing</vt:lpstr>
      <vt:lpstr>Battery Sizing OLD</vt:lpstr>
      <vt:lpstr>Battery + Solar</vt:lpstr>
      <vt:lpstr>Ref Solar</vt:lpstr>
      <vt:lpstr>Ref Battery</vt:lpstr>
      <vt:lpstr>Ref Bat &amp; Sol</vt:lpstr>
      <vt:lpstr>Loads</vt:lpstr>
      <vt:lpstr>'Ref Bat &amp; Sol'!Degrees</vt:lpstr>
      <vt:lpstr>Degrees</vt:lpstr>
      <vt:lpstr>'Ref Bat &amp; Sol'!GridVoltage</vt:lpstr>
      <vt:lpstr>GridVoltage</vt:lpstr>
      <vt:lpstr>Loads</vt:lpstr>
      <vt:lpstr>max_string</vt:lpstr>
      <vt:lpstr>min_string</vt:lpstr>
      <vt:lpstr>Optimizers</vt:lpstr>
      <vt:lpstr>Type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John E Lerch</cp:lastModifiedBy>
  <cp:revision/>
  <dcterms:created xsi:type="dcterms:W3CDTF">2021-12-13T21:20:45Z</dcterms:created>
  <dcterms:modified xsi:type="dcterms:W3CDTF">2025-11-04T20:16:35Z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0x010100141DD409AC535547A84E9574CB9D9F7D</vt:lpwstr>
  </property>
  <property fmtid="{D5CDD505-2E9C-101B-9397-08002B2CF9AE}" pid="3" name="MediaServiceImageTags">
    <vt:lpwstr/>
  </property>
</Properties>
</file>